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45" windowWidth="14880" windowHeight="6780" activeTab="0"/>
  </bookViews>
  <sheets>
    <sheet name="Sheet2" sheetId="1" r:id="rId1"/>
    <sheet name="Sheet1" sheetId="2" r:id="rId2"/>
    <sheet name="Sheet3" sheetId="3" r:id="rId3"/>
    <sheet name="Sheet4" sheetId="4" r:id="rId4"/>
  </sheets>
  <definedNames>
    <definedName name="TABLE" localSheetId="1">'Sheet1'!$F$64:$L$77</definedName>
    <definedName name="TABLE_2" localSheetId="1">'Sheet1'!$F$64:$L$77</definedName>
    <definedName name="TABLE_3" localSheetId="1">'Sheet1'!$F$64:$L$77</definedName>
    <definedName name="TABLE_4" localSheetId="1">'Sheet1'!$F$64:$L$77</definedName>
  </definedNames>
  <calcPr fullCalcOnLoad="1"/>
</workbook>
</file>

<file path=xl/sharedStrings.xml><?xml version="1.0" encoding="utf-8"?>
<sst xmlns="http://schemas.openxmlformats.org/spreadsheetml/2006/main" count="333" uniqueCount="247">
  <si>
    <t>=</t>
  </si>
  <si>
    <t>Volume</t>
  </si>
  <si>
    <t>Pressure</t>
  </si>
  <si>
    <t>1 mole= 24.47 liter at 25 deg C (298K) and 101.3kPa (1 atm)</t>
  </si>
  <si>
    <t>1 mole= 22.4 liter at Standard Temperature Pressure 0deg C or 273 K 101 kPa</t>
  </si>
  <si>
    <t>1 pascal= 0.000145037738 PSI</t>
  </si>
  <si>
    <t>Mole</t>
  </si>
  <si>
    <t>temp</t>
  </si>
  <si>
    <t>Rconstant</t>
  </si>
  <si>
    <t>beg press</t>
  </si>
  <si>
    <t>end press</t>
  </si>
  <si>
    <t>diff</t>
  </si>
  <si>
    <t>psi</t>
  </si>
  <si>
    <t>Temp K</t>
  </si>
  <si>
    <t>C</t>
  </si>
  <si>
    <t>pascal/atmosphere</t>
  </si>
  <si>
    <t>Radius</t>
  </si>
  <si>
    <t>force on piston</t>
  </si>
  <si>
    <t>lbs</t>
  </si>
  <si>
    <t>RPM</t>
  </si>
  <si>
    <t>horsepower</t>
  </si>
  <si>
    <t>Torque</t>
  </si>
  <si>
    <t>ft/lbs</t>
  </si>
  <si>
    <t>Heat chamber</t>
  </si>
  <si>
    <t>length</t>
  </si>
  <si>
    <t>Displacer</t>
  </si>
  <si>
    <t>Misc vol</t>
  </si>
  <si>
    <t>Total volume</t>
  </si>
  <si>
    <t>displaced vol</t>
  </si>
  <si>
    <t>1 cubic inches = 0.016387064 liters</t>
  </si>
  <si>
    <t>Piston Chamber</t>
  </si>
  <si>
    <t>Temperature on cold and hot side</t>
  </si>
  <si>
    <t>displacer chamber volume for calculating moles of gas</t>
  </si>
  <si>
    <t>1 HP = 33000 ft/lbs/min</t>
  </si>
  <si>
    <t>estimate of ratio of displacer volume to chamber volume</t>
  </si>
  <si>
    <t>stroke (in.)</t>
  </si>
  <si>
    <t>piston</t>
  </si>
  <si>
    <t>crank</t>
  </si>
  <si>
    <t>displacer</t>
  </si>
  <si>
    <t>Static</t>
  </si>
  <si>
    <t>conversions</t>
  </si>
  <si>
    <t>differential</t>
  </si>
  <si>
    <t>2175 psi is typical pressure in gas internal combustion engines</t>
  </si>
  <si>
    <t>in Pascal</t>
  </si>
  <si>
    <t>in ATM</t>
  </si>
  <si>
    <t>in PSI</t>
  </si>
  <si>
    <t>c</t>
  </si>
  <si>
    <t>k</t>
  </si>
  <si>
    <t>cold side</t>
  </si>
  <si>
    <t>hot side</t>
  </si>
  <si>
    <t>fill temp</t>
  </si>
  <si>
    <t>Liter total</t>
  </si>
  <si>
    <t>fill</t>
  </si>
  <si>
    <t>cold</t>
  </si>
  <si>
    <t>hot</t>
  </si>
  <si>
    <t>Mole total</t>
  </si>
  <si>
    <t>Mole displaced</t>
  </si>
  <si>
    <t>Mole over piston</t>
  </si>
  <si>
    <t>Liter piston TDC</t>
  </si>
  <si>
    <t>PV=nRT</t>
  </si>
  <si>
    <t>pressure in atm volume in liter</t>
  </si>
  <si>
    <t>psi/atm</t>
  </si>
  <si>
    <t>Mole in passage</t>
  </si>
  <si>
    <t>f</t>
  </si>
  <si>
    <t>Temp</t>
  </si>
  <si>
    <t>inches</t>
  </si>
  <si>
    <t>Beginning pressure</t>
  </si>
  <si>
    <t xml:space="preserve">A Rough Estimate of Work Done By Stirling Cycle, Given Dimensions and heat differential </t>
  </si>
  <si>
    <t>Piston Diameter</t>
  </si>
  <si>
    <t>Displacer Dia.</t>
  </si>
  <si>
    <t>Ratio of displacer to total</t>
  </si>
  <si>
    <t>Disp</t>
  </si>
  <si>
    <t>Dia</t>
  </si>
  <si>
    <t>Len</t>
  </si>
  <si>
    <t>Piston</t>
  </si>
  <si>
    <t>Stroke</t>
  </si>
  <si>
    <t>HP</t>
  </si>
  <si>
    <t>Est Weight of Eng.</t>
  </si>
  <si>
    <t>Cylinder lbs/ft</t>
  </si>
  <si>
    <t>dia</t>
  </si>
  <si>
    <t>0 psi</t>
  </si>
  <si>
    <t>lbs/hp</t>
  </si>
  <si>
    <t xml:space="preserve"> build these specs</t>
  </si>
  <si>
    <t>OD</t>
  </si>
  <si>
    <t>ID</t>
  </si>
  <si>
    <t>Length</t>
  </si>
  <si>
    <t>Wall</t>
  </si>
  <si>
    <t>H  in traditional design</t>
  </si>
  <si>
    <t>H in metric</t>
  </si>
  <si>
    <t>1 linear inch = 2.54 cm</t>
  </si>
  <si>
    <t>cm</t>
  </si>
  <si>
    <t>in</t>
  </si>
  <si>
    <t>mm</t>
  </si>
  <si>
    <t>Liter total w/piston 1/2 way</t>
  </si>
  <si>
    <t>cubic inches</t>
  </si>
  <si>
    <t>atm</t>
  </si>
  <si>
    <t>Piston 1/2 way</t>
  </si>
  <si>
    <t>piston down</t>
  </si>
  <si>
    <t>piston up</t>
  </si>
  <si>
    <t>pressures</t>
  </si>
  <si>
    <t>bearing 627 7id 22 od, 7w</t>
  </si>
  <si>
    <t>bearing 6000-2RS 6000zz 10x26x8</t>
  </si>
  <si>
    <t>bearing McMasterCarr No 5905K84 8id12od10w  Rating 620lbs</t>
  </si>
  <si>
    <t>Interference fit of .0012</t>
  </si>
  <si>
    <t>Part No.</t>
  </si>
  <si>
    <t>Dimensions (mm)</t>
  </si>
  <si>
    <t>Basic load ratings(Lbf)</t>
  </si>
  <si>
    <t>Weight(lb)</t>
  </si>
  <si>
    <t>d</t>
  </si>
  <si>
    <t>D</t>
  </si>
  <si>
    <t>B</t>
  </si>
  <si>
    <t>Dynamic(Cr)</t>
  </si>
  <si>
    <t>Bearing drawn cup 1.125x.875x.5</t>
  </si>
  <si>
    <t>Bearing drawn cup 1x75x75</t>
  </si>
  <si>
    <t>bearing needle 8-12-3</t>
  </si>
  <si>
    <t>Bearing drawn cup 5 8ths x 13 16ths x 5 8ths</t>
  </si>
  <si>
    <t>15x35x11mm</t>
  </si>
  <si>
    <t>20x26x20mm</t>
  </si>
  <si>
    <t>22mm</t>
  </si>
  <si>
    <t>Lbs/Ft</t>
  </si>
  <si>
    <t>&lt;--for Piston</t>
  </si>
  <si>
    <t>3/8" ID, 7/8" OD, 3/8" Width</t>
  </si>
  <si>
    <t>1/2" ID, 1" OD, 0.344" Width</t>
  </si>
  <si>
    <t>Half</t>
  </si>
  <si>
    <t>Dis Dia</t>
  </si>
  <si>
    <t>Offset</t>
  </si>
  <si>
    <t>gap min</t>
  </si>
  <si>
    <t>gap max</t>
  </si>
  <si>
    <t>r</t>
  </si>
  <si>
    <t>h</t>
  </si>
  <si>
    <t>Diameter</t>
  </si>
  <si>
    <t>Dead space</t>
  </si>
  <si>
    <t>stroke</t>
  </si>
  <si>
    <t>Swept Volume</t>
  </si>
  <si>
    <t>Displacer length</t>
  </si>
  <si>
    <t>Heat exchanger length</t>
  </si>
  <si>
    <t>liter</t>
  </si>
  <si>
    <t>1 cubic inches =</t>
  </si>
  <si>
    <t>Cubic inch</t>
  </si>
  <si>
    <t>n=PV/RT</t>
  </si>
  <si>
    <t>P=nRT/V</t>
  </si>
  <si>
    <t>Temperature</t>
  </si>
  <si>
    <t>Low</t>
  </si>
  <si>
    <t>High</t>
  </si>
  <si>
    <t>Fill Pressure PSI</t>
  </si>
  <si>
    <t>Calculations</t>
  </si>
  <si>
    <t>Piston Position</t>
  </si>
  <si>
    <t>TDC</t>
  </si>
  <si>
    <t>CDC</t>
  </si>
  <si>
    <t>BDC</t>
  </si>
  <si>
    <t>Pressure Delta</t>
  </si>
  <si>
    <t>1/2 way</t>
  </si>
  <si>
    <t>low average</t>
  </si>
  <si>
    <t>high average</t>
  </si>
  <si>
    <t>T=PV/nR</t>
  </si>
  <si>
    <t>PSI/ATM</t>
  </si>
  <si>
    <t>ATM/PSI</t>
  </si>
  <si>
    <t>Horsepower Predicted</t>
  </si>
  <si>
    <t>temp drop from moving piston</t>
  </si>
  <si>
    <t>Difference</t>
  </si>
  <si>
    <t>Volume @</t>
  </si>
  <si>
    <t>@</t>
  </si>
  <si>
    <t>1 linear inch=</t>
  </si>
  <si>
    <t>pressure differential on piston</t>
  </si>
  <si>
    <t>Delta other side of piston</t>
  </si>
  <si>
    <t>PSI</t>
  </si>
  <si>
    <t>Delta PSI</t>
  </si>
  <si>
    <t>fill pressure 1</t>
  </si>
  <si>
    <t>fill pressure 2</t>
  </si>
  <si>
    <t>Fill pressure 3</t>
  </si>
  <si>
    <t>Cool CDC</t>
  </si>
  <si>
    <t>Heat TDC</t>
  </si>
  <si>
    <t>Heat CDC</t>
  </si>
  <si>
    <t>Heat BDC</t>
  </si>
  <si>
    <t>inch</t>
  </si>
  <si>
    <t>cycle</t>
  </si>
  <si>
    <t>Fill Temp.</t>
  </si>
  <si>
    <t>ATM</t>
  </si>
  <si>
    <t>Farenheit</t>
  </si>
  <si>
    <t>Kelvin</t>
  </si>
  <si>
    <t>1 mole= 24.47 liter at 25 deg C (298K)</t>
  </si>
  <si>
    <t>What temp alone would do this</t>
  </si>
  <si>
    <t>(Mechanically equalized Miller cycle)</t>
  </si>
  <si>
    <t>Pressure on piston</t>
  </si>
  <si>
    <t>Area</t>
  </si>
  <si>
    <t>Sq In</t>
  </si>
  <si>
    <t>P/SI</t>
  </si>
  <si>
    <t>Lbs</t>
  </si>
  <si>
    <t>Torque*RPM</t>
  </si>
  <si>
    <t>WAG</t>
  </si>
  <si>
    <t>efficiency</t>
  </si>
  <si>
    <t>psi in foot/lbs for 1/6 of rotation</t>
  </si>
  <si>
    <t>(Th-Tc)/Th</t>
  </si>
  <si>
    <t>mechanical</t>
  </si>
  <si>
    <t>Carnot</t>
  </si>
  <si>
    <t>Efficiency</t>
  </si>
  <si>
    <t>mech x</t>
  </si>
  <si>
    <t>heat trans x</t>
  </si>
  <si>
    <t>SI</t>
  </si>
  <si>
    <t>(Lbs*S/12)/6</t>
  </si>
  <si>
    <t>Yield</t>
  </si>
  <si>
    <t>HP Constant</t>
  </si>
  <si>
    <t>Predict in horsepower, the power output of a Stirling Engine</t>
  </si>
  <si>
    <t>Case</t>
  </si>
  <si>
    <t>hp</t>
  </si>
  <si>
    <t>Cylinder len</t>
  </si>
  <si>
    <t>V=nRT/P</t>
  </si>
  <si>
    <t>Conversion units</t>
  </si>
  <si>
    <t>Change the green boxes to achieve the desired output</t>
  </si>
  <si>
    <t>ft/lbs/rotation</t>
  </si>
  <si>
    <t>1 inch=</t>
  </si>
  <si>
    <t>sqare inch</t>
  </si>
  <si>
    <t>cm2</t>
  </si>
  <si>
    <t>1 kilowatt=1.341 HP</t>
  </si>
  <si>
    <t>in Kilowatts</t>
  </si>
  <si>
    <t>kw</t>
  </si>
  <si>
    <t>220 v Amps</t>
  </si>
  <si>
    <t>Copyright (c) 2011</t>
  </si>
  <si>
    <t>All rights reserved.</t>
  </si>
  <si>
    <t>Alex Miller</t>
  </si>
  <si>
    <t>(WAG - Wild A_ _ Guess)</t>
  </si>
  <si>
    <t>1 Megawatt=1000Kilowatt</t>
  </si>
  <si>
    <t>MW</t>
  </si>
  <si>
    <t>Megawatts</t>
  </si>
  <si>
    <t>Energy of Sunlight 1000W/m2</t>
  </si>
  <si>
    <t>Area of sunlight required to provide energy output</t>
  </si>
  <si>
    <t>Square meters</t>
  </si>
  <si>
    <t>1 square meter =</t>
  </si>
  <si>
    <t>acres</t>
  </si>
  <si>
    <t>Heat X Dia</t>
  </si>
  <si>
    <t>Heat X Len</t>
  </si>
  <si>
    <t>Piston Dia 4 in stroke</t>
  </si>
  <si>
    <t>in3</t>
  </si>
  <si>
    <t xml:space="preserve">stroke = </t>
  </si>
  <si>
    <t>volume</t>
  </si>
  <si>
    <t>Dia=</t>
  </si>
  <si>
    <t>foot pound 2020</t>
  </si>
  <si>
    <t>3d systems.com</t>
  </si>
  <si>
    <t>Sadeet Rana</t>
  </si>
  <si>
    <t>630-303-3066</t>
  </si>
  <si>
    <t>email</t>
  </si>
  <si>
    <t>sadeet.rana@3dsystems.com</t>
  </si>
  <si>
    <t>no consulting engineers on staff</t>
  </si>
  <si>
    <t>"10x10x16</t>
  </si>
  <si>
    <t>275, 275x400 mm</t>
  </si>
  <si>
    <t>inconel</t>
  </si>
  <si>
    <t>Acres Totalsun  input for kw output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</si>
</sst>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;\언"/>
    <numFmt numFmtId="165" formatCode="0.0E+00;\앜"/>
    <numFmt numFmtId="166" formatCode="0.00E+00;\앜"/>
    <numFmt numFmtId="167" formatCode="0.000E+00;\앜"/>
    <numFmt numFmtId="168" formatCode="0.0000E+00;\앜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_(* #,##0.000_);_(* \(#,##0.000\);_(* &quot;-&quot;???_);_(@_)"/>
    <numFmt numFmtId="187" formatCode="[$-409]dddd\,\ mmmm\ dd\,\ yyyy"/>
    <numFmt numFmtId="188" formatCode="[$-409]h:mm:ss\ AM/PM"/>
    <numFmt numFmtId="189" formatCode="#,##0.0"/>
    <numFmt numFmtId="190" formatCode="0.0000E+00"/>
    <numFmt numFmtId="191" formatCode="0.000E+00"/>
    <numFmt numFmtId="192" formatCode="0.0E+00"/>
    <numFmt numFmtId="193" formatCode="0E+00"/>
    <numFmt numFmtId="194" formatCode="0.00000E+00"/>
    <numFmt numFmtId="195" formatCode="0.000000E+00"/>
  </numFmts>
  <fonts count="47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0"/>
    </font>
    <font>
      <sz val="16"/>
      <name val="Times New Roman"/>
      <family val="1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0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left"/>
    </xf>
    <xf numFmtId="17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77" fontId="0" fillId="33" borderId="10" xfId="0" applyNumberFormat="1" applyFill="1" applyBorder="1" applyAlignment="1">
      <alignment horizontal="right"/>
    </xf>
    <xf numFmtId="43" fontId="0" fillId="33" borderId="10" xfId="42" applyFont="1" applyFill="1" applyBorder="1" applyAlignment="1">
      <alignment horizontal="right"/>
    </xf>
    <xf numFmtId="177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176" fontId="0" fillId="34" borderId="10" xfId="0" applyNumberFormat="1" applyFill="1" applyBorder="1" applyAlignment="1">
      <alignment horizontal="center"/>
    </xf>
    <xf numFmtId="177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77" fontId="0" fillId="37" borderId="0" xfId="0" applyNumberFormat="1" applyFill="1" applyAlignment="1">
      <alignment/>
    </xf>
    <xf numFmtId="0" fontId="0" fillId="38" borderId="0" xfId="0" applyFill="1" applyAlignment="1">
      <alignment/>
    </xf>
    <xf numFmtId="177" fontId="0" fillId="39" borderId="10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0" fillId="39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9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176" fontId="0" fillId="4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170" fontId="0" fillId="37" borderId="0" xfId="0" applyNumberFormat="1" applyFill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Alignment="1">
      <alignment/>
    </xf>
    <xf numFmtId="170" fontId="0" fillId="40" borderId="10" xfId="0" applyNumberFormat="1" applyFill="1" applyBorder="1" applyAlignment="1">
      <alignment/>
    </xf>
    <xf numFmtId="175" fontId="0" fillId="37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172" fontId="0" fillId="37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41" borderId="0" xfId="0" applyFill="1" applyAlignment="1">
      <alignment/>
    </xf>
    <xf numFmtId="173" fontId="0" fillId="41" borderId="0" xfId="0" applyNumberFormat="1" applyFill="1" applyAlignment="1">
      <alignment/>
    </xf>
    <xf numFmtId="175" fontId="0" fillId="41" borderId="0" xfId="0" applyNumberFormat="1" applyFill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 quotePrefix="1">
      <alignment horizontal="center"/>
    </xf>
    <xf numFmtId="0" fontId="0" fillId="42" borderId="0" xfId="0" applyFill="1" applyAlignment="1">
      <alignment/>
    </xf>
    <xf numFmtId="177" fontId="0" fillId="36" borderId="0" xfId="0" applyNumberFormat="1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7" fillId="0" borderId="0" xfId="0" applyFont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177" fontId="0" fillId="38" borderId="0" xfId="0" applyNumberFormat="1" applyFill="1" applyAlignment="1">
      <alignment/>
    </xf>
    <xf numFmtId="0" fontId="0" fillId="45" borderId="0" xfId="0" applyFill="1" applyAlignment="1">
      <alignment/>
    </xf>
    <xf numFmtId="1" fontId="0" fillId="45" borderId="10" xfId="0" applyNumberFormat="1" applyFill="1" applyBorder="1" applyAlignment="1">
      <alignment horizontal="left"/>
    </xf>
    <xf numFmtId="176" fontId="0" fillId="45" borderId="0" xfId="0" applyNumberFormat="1" applyFill="1" applyAlignment="1">
      <alignment/>
    </xf>
    <xf numFmtId="175" fontId="0" fillId="45" borderId="0" xfId="0" applyNumberFormat="1" applyFill="1" applyAlignment="1">
      <alignment/>
    </xf>
    <xf numFmtId="0" fontId="0" fillId="46" borderId="0" xfId="0" applyFill="1" applyAlignment="1">
      <alignment/>
    </xf>
    <xf numFmtId="0" fontId="1" fillId="38" borderId="0" xfId="0" applyFont="1" applyFill="1" applyAlignment="1">
      <alignment/>
    </xf>
    <xf numFmtId="9" fontId="0" fillId="47" borderId="0" xfId="59" applyFont="1" applyFill="1" applyAlignment="1">
      <alignment/>
    </xf>
    <xf numFmtId="177" fontId="0" fillId="42" borderId="0" xfId="0" applyNumberFormat="1" applyFill="1" applyAlignment="1">
      <alignment/>
    </xf>
    <xf numFmtId="177" fontId="0" fillId="48" borderId="0" xfId="0" applyNumberFormat="1" applyFill="1" applyAlignment="1">
      <alignment/>
    </xf>
    <xf numFmtId="177" fontId="8" fillId="37" borderId="0" xfId="0" applyNumberFormat="1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77" fontId="0" fillId="33" borderId="0" xfId="0" applyNumberFormat="1" applyFill="1" applyAlignment="1" applyProtection="1">
      <alignment/>
      <protection locked="0"/>
    </xf>
    <xf numFmtId="9" fontId="0" fillId="33" borderId="0" xfId="59" applyFont="1" applyFill="1" applyAlignment="1" applyProtection="1">
      <alignment/>
      <protection locked="0"/>
    </xf>
    <xf numFmtId="0" fontId="0" fillId="44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0" fillId="17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1" fillId="36" borderId="15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49" borderId="0" xfId="0" applyFill="1" applyAlignment="1">
      <alignment/>
    </xf>
    <xf numFmtId="9" fontId="0" fillId="49" borderId="0" xfId="59" applyFont="1" applyFill="1" applyAlignment="1">
      <alignment/>
    </xf>
    <xf numFmtId="43" fontId="0" fillId="49" borderId="0" xfId="42" applyFont="1" applyFill="1" applyAlignment="1">
      <alignment/>
    </xf>
    <xf numFmtId="0" fontId="38" fillId="0" borderId="0" xfId="53" applyAlignment="1">
      <alignment/>
    </xf>
    <xf numFmtId="0" fontId="0" fillId="49" borderId="0" xfId="0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deet.rana@3dsystem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85" zoomScaleNormal="85" zoomScalePageLayoutView="0" workbookViewId="0" topLeftCell="A1">
      <selection activeCell="F6" sqref="F6"/>
    </sheetView>
  </sheetViews>
  <sheetFormatPr defaultColWidth="9.00390625" defaultRowHeight="15.75"/>
  <cols>
    <col min="2" max="2" width="10.625" style="0" customWidth="1"/>
    <col min="3" max="3" width="8.00390625" style="0" customWidth="1"/>
    <col min="4" max="4" width="7.50390625" style="0" customWidth="1"/>
    <col min="5" max="5" width="9.375" style="0" bestFit="1" customWidth="1"/>
    <col min="6" max="6" width="13.25390625" style="0" customWidth="1"/>
    <col min="7" max="7" width="9.50390625" style="0" customWidth="1"/>
    <col min="8" max="8" width="8.875" style="0" customWidth="1"/>
    <col min="9" max="9" width="9.875" style="0" customWidth="1"/>
    <col min="10" max="10" width="11.375" style="0" bestFit="1" customWidth="1"/>
    <col min="12" max="12" width="12.375" style="0" bestFit="1" customWidth="1"/>
    <col min="15" max="15" width="12.625" style="0" bestFit="1" customWidth="1"/>
  </cols>
  <sheetData>
    <row r="1" ht="22.5">
      <c r="A1" s="74" t="s">
        <v>202</v>
      </c>
    </row>
    <row r="2" spans="1:5" ht="15.75">
      <c r="A2" s="92" t="s">
        <v>208</v>
      </c>
      <c r="B2" s="49"/>
      <c r="C2" s="76"/>
      <c r="D2" s="76"/>
      <c r="E2" s="76"/>
    </row>
    <row r="3" spans="1:13" ht="22.5">
      <c r="A3" s="74"/>
      <c r="C3" t="s">
        <v>203</v>
      </c>
      <c r="D3" s="62">
        <v>1</v>
      </c>
      <c r="E3" s="62">
        <v>2</v>
      </c>
      <c r="F3" s="62">
        <v>3</v>
      </c>
      <c r="J3" s="100" t="s">
        <v>225</v>
      </c>
      <c r="M3" s="54"/>
    </row>
    <row r="4" spans="1:13" ht="22.5">
      <c r="A4" s="74" t="s">
        <v>236</v>
      </c>
      <c r="D4" s="62"/>
      <c r="E4" s="62"/>
      <c r="F4" s="62"/>
      <c r="J4" s="100"/>
      <c r="M4" s="54"/>
    </row>
    <row r="5" spans="1:12" ht="18.75">
      <c r="A5" s="30" t="s">
        <v>157</v>
      </c>
      <c r="B5" s="30"/>
      <c r="D5" s="87">
        <f>$D$63*$D$64</f>
        <v>116.82805035962323</v>
      </c>
      <c r="E5" s="87">
        <f>$F$63*$D$64</f>
        <v>373.7564872934551</v>
      </c>
      <c r="F5" s="87">
        <f>$H$63*$D$64</f>
        <v>567.5796941031879</v>
      </c>
      <c r="G5" s="112" t="s">
        <v>204</v>
      </c>
      <c r="J5">
        <v>1</v>
      </c>
      <c r="K5">
        <v>2</v>
      </c>
      <c r="L5">
        <v>3</v>
      </c>
    </row>
    <row r="6" spans="1:13" ht="18.75">
      <c r="A6" s="30" t="s">
        <v>214</v>
      </c>
      <c r="B6" s="30"/>
      <c r="D6" s="87">
        <f>D5/$D74</f>
        <v>87.11866212406929</v>
      </c>
      <c r="E6" s="87">
        <f>E5/$D74</f>
        <v>278.71016449360286</v>
      </c>
      <c r="F6" s="87">
        <f>F5/$D74</f>
        <v>423.2441048776369</v>
      </c>
      <c r="G6" s="112" t="s">
        <v>215</v>
      </c>
      <c r="H6" s="54">
        <f>F6/J74</f>
        <v>0.4232441048776369</v>
      </c>
      <c r="I6" s="100" t="s">
        <v>222</v>
      </c>
      <c r="J6" s="97">
        <f>D$6/$D$64</f>
        <v>258.0011857908336</v>
      </c>
      <c r="K6" s="97">
        <f>E$6/$D$64</f>
        <v>825.3978100455823</v>
      </c>
      <c r="L6" s="97">
        <f>F$6/$D$64</f>
        <v>1253.4338599219716</v>
      </c>
      <c r="M6" s="98" t="s">
        <v>226</v>
      </c>
    </row>
    <row r="7" spans="1:13" ht="18.75">
      <c r="A7" s="30" t="s">
        <v>223</v>
      </c>
      <c r="B7" s="30"/>
      <c r="D7" s="87">
        <f>D6/$D$75</f>
        <v>0.08711866212406928</v>
      </c>
      <c r="E7" s="87">
        <f>E6/$D$75</f>
        <v>0.27871016449360286</v>
      </c>
      <c r="F7" s="87">
        <f>F6/$D$75</f>
        <v>0.4232441048776369</v>
      </c>
      <c r="J7" s="54">
        <f>J$6*$I$75</f>
        <v>0.06375338301484393</v>
      </c>
      <c r="K7" s="54">
        <f>K$6*$I$75</f>
        <v>0.20395992585131364</v>
      </c>
      <c r="L7" s="54">
        <f>L$6*$I$75</f>
        <v>0.3097297739560188</v>
      </c>
      <c r="M7" s="100" t="s">
        <v>246</v>
      </c>
    </row>
    <row r="8" spans="1:13" ht="18.75">
      <c r="A8" s="30" t="s">
        <v>216</v>
      </c>
      <c r="B8" s="30"/>
      <c r="D8" s="87">
        <f>D6*1000/220</f>
        <v>395.9939187457695</v>
      </c>
      <c r="E8" s="87">
        <f>E6*1000/220</f>
        <v>1266.8643840618313</v>
      </c>
      <c r="F8" s="87">
        <f>F6*1000/220</f>
        <v>1923.8368403528953</v>
      </c>
      <c r="L8">
        <f>L6/J74</f>
        <v>1.2534338599219716</v>
      </c>
      <c r="M8" t="s">
        <v>222</v>
      </c>
    </row>
    <row r="9" spans="1:7" ht="15.75">
      <c r="A9" s="30" t="s">
        <v>144</v>
      </c>
      <c r="B9" s="30"/>
      <c r="D9" s="88">
        <v>400</v>
      </c>
      <c r="E9" s="88">
        <v>1312</v>
      </c>
      <c r="F9" s="88">
        <v>2000</v>
      </c>
      <c r="G9" t="s">
        <v>12</v>
      </c>
    </row>
    <row r="10" spans="3:9" ht="15.75">
      <c r="C10" t="s">
        <v>177</v>
      </c>
      <c r="D10" s="64">
        <f>(D9+$E82)/$E82</f>
        <v>28.21838551859952</v>
      </c>
      <c r="E10" s="101">
        <f>(E9+$E82)/$E82</f>
        <v>90.27630450100642</v>
      </c>
      <c r="F10" s="101">
        <f>(F9+$E82)/$E82</f>
        <v>137.0919275929976</v>
      </c>
      <c r="I10" s="95"/>
    </row>
    <row r="11" spans="3:6" ht="15.75">
      <c r="C11" t="s">
        <v>178</v>
      </c>
      <c r="F11" s="73" t="s">
        <v>179</v>
      </c>
    </row>
    <row r="12" spans="1:13" ht="15.75">
      <c r="A12" s="30" t="s">
        <v>141</v>
      </c>
      <c r="B12" s="49" t="s">
        <v>176</v>
      </c>
      <c r="C12" s="89">
        <v>80</v>
      </c>
      <c r="D12" t="s">
        <v>63</v>
      </c>
      <c r="F12" s="71">
        <f>(C12-32)*5/9+273.15</f>
        <v>299.81666666666666</v>
      </c>
      <c r="M12" s="65"/>
    </row>
    <row r="13" spans="2:13" ht="15.75">
      <c r="B13" s="49" t="s">
        <v>142</v>
      </c>
      <c r="C13" s="103">
        <v>100</v>
      </c>
      <c r="D13" t="s">
        <v>63</v>
      </c>
      <c r="F13" s="71">
        <f>(C13-32)*5/9+273.15</f>
        <v>310.92777777777775</v>
      </c>
      <c r="M13" s="65"/>
    </row>
    <row r="14" spans="2:13" ht="15.75">
      <c r="B14" t="s">
        <v>152</v>
      </c>
      <c r="D14" s="54">
        <f>C13+(C16-C13)/3</f>
        <v>383.3333333333333</v>
      </c>
      <c r="F14" s="71">
        <f>(D14-32)*5/9+273.15</f>
        <v>468.33518518518514</v>
      </c>
      <c r="M14" s="65"/>
    </row>
    <row r="15" spans="2:12" ht="15.75">
      <c r="B15" t="s">
        <v>153</v>
      </c>
      <c r="D15" s="54">
        <f>C16-(C16-C13)/3</f>
        <v>666.6666666666667</v>
      </c>
      <c r="F15" s="71">
        <f>(D15-32)*5/9+273.15</f>
        <v>625.7425925925927</v>
      </c>
      <c r="L15" s="8" t="str">
        <f>M8</f>
        <v>MW</v>
      </c>
    </row>
    <row r="16" spans="2:13" ht="15.75">
      <c r="B16" s="49" t="s">
        <v>143</v>
      </c>
      <c r="C16" s="89">
        <v>950</v>
      </c>
      <c r="D16" t="s">
        <v>63</v>
      </c>
      <c r="F16" s="71">
        <f>(C16-32)*5/9+273.15</f>
        <v>783.15</v>
      </c>
      <c r="G16" s="32" t="s">
        <v>194</v>
      </c>
      <c r="H16" s="65">
        <f>((F16-F13)/F16)</f>
        <v>0.6029780019437173</v>
      </c>
      <c r="L16" s="59">
        <f>F7</f>
        <v>0.4232441048776369</v>
      </c>
      <c r="M16" s="65"/>
    </row>
    <row r="17" ht="15.75">
      <c r="L17" s="59">
        <v>5.10979287</v>
      </c>
    </row>
    <row r="18" spans="12:13" ht="15.75">
      <c r="L18" s="59">
        <f>L16-L17</f>
        <v>-4.686548765122363</v>
      </c>
      <c r="M18" s="65"/>
    </row>
    <row r="19" spans="5:14" ht="15.75">
      <c r="E19" t="s">
        <v>174</v>
      </c>
      <c r="F19" s="8" t="s">
        <v>90</v>
      </c>
      <c r="H19" s="38"/>
      <c r="J19" s="112"/>
      <c r="K19" s="112"/>
      <c r="L19" s="112"/>
      <c r="M19" s="113"/>
      <c r="N19" s="112"/>
    </row>
    <row r="20" spans="1:18" ht="15.75">
      <c r="A20" s="30" t="s">
        <v>25</v>
      </c>
      <c r="B20" s="49" t="s">
        <v>130</v>
      </c>
      <c r="C20" s="49"/>
      <c r="D20" s="49"/>
      <c r="E20" s="89">
        <v>6</v>
      </c>
      <c r="F20">
        <f>E20*$B$78</f>
        <v>15.24</v>
      </c>
      <c r="H20" s="38"/>
      <c r="J20" s="112">
        <v>2835.28737</v>
      </c>
      <c r="K20" s="113" t="s">
        <v>232</v>
      </c>
      <c r="L20" s="112"/>
      <c r="M20" s="114"/>
      <c r="N20" s="112"/>
      <c r="O20" s="112"/>
      <c r="P20" s="112"/>
      <c r="Q20" s="112"/>
      <c r="R20" s="112"/>
    </row>
    <row r="21" spans="2:14" ht="15.75">
      <c r="B21" s="49" t="s">
        <v>135</v>
      </c>
      <c r="C21" s="49"/>
      <c r="D21" s="49"/>
      <c r="E21" s="89">
        <v>30</v>
      </c>
      <c r="F21">
        <f>E21*$B$78</f>
        <v>76.2</v>
      </c>
      <c r="H21" s="38"/>
      <c r="J21" s="112">
        <f>PI()*(D28/2)^2*D29</f>
        <v>392.69908169872417</v>
      </c>
      <c r="K21" s="112" t="s">
        <v>234</v>
      </c>
      <c r="L21" s="112"/>
      <c r="M21" s="112"/>
      <c r="N21" s="112"/>
    </row>
    <row r="22" spans="2:14" ht="15.75">
      <c r="B22" s="49" t="s">
        <v>134</v>
      </c>
      <c r="C22" s="49"/>
      <c r="D22" s="49"/>
      <c r="E22" s="116">
        <f>E21*1.1</f>
        <v>33</v>
      </c>
      <c r="F22">
        <f>E22*$B$78</f>
        <v>83.82000000000001</v>
      </c>
      <c r="H22" s="38"/>
      <c r="J22" s="112"/>
      <c r="K22" s="112"/>
      <c r="L22" s="112"/>
      <c r="M22" s="112"/>
      <c r="N22" s="112"/>
    </row>
    <row r="23" spans="8:14" ht="15.75">
      <c r="H23" s="38"/>
      <c r="J23" s="113">
        <f>D28/D29</f>
        <v>2</v>
      </c>
      <c r="K23" s="112"/>
      <c r="L23" s="112" t="s">
        <v>235</v>
      </c>
      <c r="M23" s="112">
        <f>2*(SQRT($J$20/(PI()*$D$29)))</f>
        <v>26.87005768572951</v>
      </c>
      <c r="N23" s="112"/>
    </row>
    <row r="24" spans="2:14" ht="15.75">
      <c r="B24" t="s">
        <v>1</v>
      </c>
      <c r="D24" s="97">
        <f>PI()*(E20/2)^2*E22</f>
        <v>933.0530181161686</v>
      </c>
      <c r="E24" t="s">
        <v>138</v>
      </c>
      <c r="F24" s="72">
        <f>D24*$D$80</f>
        <v>15.289999523262814</v>
      </c>
      <c r="G24" s="27" t="s">
        <v>136</v>
      </c>
      <c r="J24" s="112"/>
      <c r="K24" s="112"/>
      <c r="L24" s="112" t="s">
        <v>233</v>
      </c>
      <c r="M24" s="112">
        <f>$J$20/((PI()*((0.5*$D$28)^2)))</f>
        <v>36.10000000172157</v>
      </c>
      <c r="N24" s="112"/>
    </row>
    <row r="25" spans="2:7" ht="15.75">
      <c r="B25" t="s">
        <v>133</v>
      </c>
      <c r="D25" s="97">
        <f>PI()*(E20/2)^2*E21</f>
        <v>848.2300164692441</v>
      </c>
      <c r="E25" t="s">
        <v>138</v>
      </c>
      <c r="F25" s="72">
        <f>D25*$D$80</f>
        <v>13.899999566602556</v>
      </c>
      <c r="G25" s="27" t="s">
        <v>136</v>
      </c>
    </row>
    <row r="26" spans="2:8" ht="15.75">
      <c r="B26" s="102" t="s">
        <v>131</v>
      </c>
      <c r="D26" s="97">
        <f>(D24-D25)+PI()*((D28/2)^2)*(D30-D29)</f>
        <v>202.6327261565417</v>
      </c>
      <c r="E26" s="102" t="s">
        <v>138</v>
      </c>
      <c r="F26" s="72">
        <f>D26*$D$80</f>
        <v>3.320555452021723</v>
      </c>
      <c r="G26" s="27" t="s">
        <v>136</v>
      </c>
      <c r="H26" s="47"/>
    </row>
    <row r="27" spans="4:8" ht="15.75">
      <c r="D27" t="s">
        <v>174</v>
      </c>
      <c r="E27" t="s">
        <v>90</v>
      </c>
      <c r="G27" s="27" t="s">
        <v>211</v>
      </c>
      <c r="H27" s="38" t="s">
        <v>212</v>
      </c>
    </row>
    <row r="28" spans="1:8" ht="15.75">
      <c r="A28" s="30" t="s">
        <v>74</v>
      </c>
      <c r="B28" s="49" t="s">
        <v>130</v>
      </c>
      <c r="C28" s="49"/>
      <c r="D28" s="89">
        <v>10</v>
      </c>
      <c r="E28">
        <f>D28*$B$78</f>
        <v>25.4</v>
      </c>
      <c r="F28" t="s">
        <v>184</v>
      </c>
      <c r="G28" s="54">
        <f aca="true" t="shared" si="0" ref="G28:H30">PI()*(D28/2)^2</f>
        <v>78.53981633974483</v>
      </c>
      <c r="H28" s="54">
        <f t="shared" si="0"/>
        <v>506.7074790974977</v>
      </c>
    </row>
    <row r="29" spans="2:11" ht="15.75">
      <c r="B29" s="49" t="s">
        <v>132</v>
      </c>
      <c r="C29" s="49"/>
      <c r="D29" s="89">
        <v>5</v>
      </c>
      <c r="E29">
        <f>D29*$B$78</f>
        <v>12.7</v>
      </c>
      <c r="G29" s="54">
        <f t="shared" si="0"/>
        <v>19.634954084936208</v>
      </c>
      <c r="H29" s="54">
        <f t="shared" si="0"/>
        <v>126.67686977437442</v>
      </c>
      <c r="J29" t="s">
        <v>222</v>
      </c>
      <c r="K29" t="s">
        <v>204</v>
      </c>
    </row>
    <row r="30" spans="2:11" ht="15.75">
      <c r="B30" s="49" t="s">
        <v>205</v>
      </c>
      <c r="C30" s="49"/>
      <c r="D30" s="89">
        <f>D29*1.3</f>
        <v>6.5</v>
      </c>
      <c r="E30">
        <f>D30*$B$78</f>
        <v>16.51</v>
      </c>
      <c r="G30" s="54">
        <f t="shared" si="0"/>
        <v>33.18307240354219</v>
      </c>
      <c r="H30" s="54">
        <f t="shared" si="0"/>
        <v>214.08390991869285</v>
      </c>
      <c r="J30">
        <f>H6</f>
        <v>0.4232441048776369</v>
      </c>
      <c r="K30" s="54">
        <f>F5</f>
        <v>567.5796941031879</v>
      </c>
    </row>
    <row r="31" spans="2:8" ht="15.75">
      <c r="B31" s="30" t="s">
        <v>160</v>
      </c>
      <c r="C31" t="s">
        <v>147</v>
      </c>
      <c r="D31" s="54">
        <f>PI()*($D$28/2)^2*(0/2)+$D$25+$D$26</f>
        <v>1050.8627426257858</v>
      </c>
      <c r="E31" t="s">
        <v>138</v>
      </c>
      <c r="F31" s="72">
        <f>D31*$D$80</f>
        <v>17.22055501862428</v>
      </c>
      <c r="G31" s="27" t="s">
        <v>136</v>
      </c>
      <c r="H31" s="54"/>
    </row>
    <row r="32" spans="2:8" ht="15.75">
      <c r="B32" s="61" t="s">
        <v>161</v>
      </c>
      <c r="C32" t="s">
        <v>151</v>
      </c>
      <c r="D32" s="29">
        <f>PI()*($D$28/2)^2*($D$29/2)+$D$25+$D$26</f>
        <v>1247.212283475148</v>
      </c>
      <c r="E32" t="s">
        <v>138</v>
      </c>
      <c r="F32" s="72">
        <f>D32*$D$80</f>
        <v>20.438147510893394</v>
      </c>
      <c r="G32" s="27" t="s">
        <v>136</v>
      </c>
      <c r="H32" s="54"/>
    </row>
    <row r="33" spans="2:8" ht="15.75">
      <c r="B33" s="61" t="s">
        <v>161</v>
      </c>
      <c r="C33" t="s">
        <v>149</v>
      </c>
      <c r="D33" s="54">
        <f>PI()*($D$28/2)^2*($D$29)+$D$25+$D$26</f>
        <v>1443.5618243245099</v>
      </c>
      <c r="E33" t="s">
        <v>138</v>
      </c>
      <c r="F33" s="72">
        <f>D33*$D$80</f>
        <v>23.6557400031625</v>
      </c>
      <c r="G33" s="27" t="s">
        <v>136</v>
      </c>
      <c r="H33" s="54"/>
    </row>
    <row r="35" spans="1:5" ht="15.75">
      <c r="A35" s="30" t="s">
        <v>145</v>
      </c>
      <c r="C35">
        <v>1</v>
      </c>
      <c r="D35">
        <v>2</v>
      </c>
      <c r="E35">
        <v>3</v>
      </c>
    </row>
    <row r="36" spans="1:5" ht="15.75">
      <c r="A36" s="75" t="s">
        <v>206</v>
      </c>
      <c r="C36" s="29">
        <f>($D$73*$D$79*$F$12/$D$10)/$D$80</f>
        <v>848.2300164692442</v>
      </c>
      <c r="D36" s="29">
        <f>($E$73*$D$79*$F$12/$E$10)/$D$80</f>
        <v>848.230016469244</v>
      </c>
      <c r="E36" s="29">
        <f>($F$73*$D$79*$F$12/$F$10)/$D$80</f>
        <v>848.2300164692442</v>
      </c>
    </row>
    <row r="37" ht="15.75">
      <c r="A37" s="34"/>
    </row>
    <row r="38" spans="1:6" ht="15.75">
      <c r="A38" s="34"/>
      <c r="D38" t="s">
        <v>146</v>
      </c>
      <c r="F38" t="s">
        <v>150</v>
      </c>
    </row>
    <row r="39" spans="1:11" ht="15.75">
      <c r="A39" s="70" t="s">
        <v>140</v>
      </c>
      <c r="B39" t="s">
        <v>53</v>
      </c>
      <c r="D39" t="s">
        <v>147</v>
      </c>
      <c r="E39" s="47">
        <f>(D$73*$D$79*$F$12/$F$31)*$D$82</f>
        <v>334.73215542432723</v>
      </c>
      <c r="F39" s="47">
        <f>(E$73*$D$79*$F$12/$F$31)*$D$82</f>
        <v>1070.8756519556016</v>
      </c>
      <c r="G39" s="47">
        <f>(F$73*$D$79*$F$12/$F$31)*$D$82</f>
        <v>1626.2119739002478</v>
      </c>
      <c r="H39" t="s">
        <v>12</v>
      </c>
      <c r="I39" s="47"/>
      <c r="J39" s="47"/>
      <c r="K39" s="47"/>
    </row>
    <row r="40" spans="4:11" ht="15.75">
      <c r="D40" t="s">
        <v>148</v>
      </c>
      <c r="E40" s="47">
        <f>(D$73*$D$79*$F$12/$F$32)*$D$82</f>
        <v>282.0350276812027</v>
      </c>
      <c r="F40" s="47">
        <f>(E$73*$D$79*$F$12/$F$32)*$D$82</f>
        <v>902.2869158164956</v>
      </c>
      <c r="G40" s="47">
        <f>(F$73*$D$79*$F$12/$F$32)*$D$82</f>
        <v>1370.1962349361029</v>
      </c>
      <c r="H40" t="s">
        <v>12</v>
      </c>
      <c r="I40" s="47"/>
      <c r="J40" s="47"/>
      <c r="K40" s="47"/>
    </row>
    <row r="41" spans="4:11" ht="15.75">
      <c r="D41" t="s">
        <v>149</v>
      </c>
      <c r="E41" s="47">
        <f>(D$73*$D$79*$F$12/$F$33)*$D$82</f>
        <v>243.67335362227965</v>
      </c>
      <c r="F41" s="47">
        <f>(E$73*$D$79*$F$12/$F$33)*$D$82</f>
        <v>779.560186244067</v>
      </c>
      <c r="G41" s="47">
        <f>(F$73*$D$79*$F$12/$F$33)*$D$82</f>
        <v>1183.8256915552404</v>
      </c>
      <c r="H41" t="s">
        <v>12</v>
      </c>
      <c r="I41" s="47"/>
      <c r="J41" s="47"/>
      <c r="K41" s="47"/>
    </row>
    <row r="42" ht="15.75">
      <c r="A42" s="70" t="s">
        <v>154</v>
      </c>
    </row>
    <row r="43" spans="1:9" ht="15.75">
      <c r="A43" s="30" t="s">
        <v>158</v>
      </c>
      <c r="B43" s="30"/>
      <c r="C43" s="30"/>
      <c r="I43" s="60"/>
    </row>
    <row r="44" spans="1:13" ht="15.75">
      <c r="A44" s="30" t="s">
        <v>181</v>
      </c>
      <c r="B44" s="30"/>
      <c r="C44" s="30"/>
      <c r="D44" t="s">
        <v>147</v>
      </c>
      <c r="E44" s="63">
        <f>((($D10*$F$31)/($D$73*$D$79))-273.15)*9/5+32</f>
        <v>208.9211666666668</v>
      </c>
      <c r="F44" s="63">
        <f>((($E10*$F$31)/($E$73*$D$79))-273.15)*9/5+32</f>
        <v>208.92116666666703</v>
      </c>
      <c r="G44" s="63">
        <f>((($F10*$F$31)/($F$73*$D$79))-273.15)*9/5+32</f>
        <v>208.9211666666667</v>
      </c>
      <c r="I44" s="34"/>
      <c r="J44" s="34"/>
      <c r="K44" s="34"/>
      <c r="L44" s="34"/>
      <c r="M44" s="34"/>
    </row>
    <row r="45" spans="4:13" ht="15.75">
      <c r="D45" t="s">
        <v>148</v>
      </c>
      <c r="E45" s="63">
        <f>((($D$10*$F$32)/($D$73*$D$79))-273.15)*9/5+32</f>
        <v>333.84477777777795</v>
      </c>
      <c r="F45" s="63">
        <f>((($E$10*$F$32)/($E$73*$D$79))-273.15)*9/5+32</f>
        <v>333.8447777777782</v>
      </c>
      <c r="G45" s="63">
        <f>(((F$10*$F$32)/($F$73*$D$79))-273.15)*9/5+32</f>
        <v>333.84477777777795</v>
      </c>
      <c r="I45" s="93"/>
      <c r="J45" s="34"/>
      <c r="K45" s="94"/>
      <c r="L45" s="94"/>
      <c r="M45" s="94"/>
    </row>
    <row r="46" spans="4:13" ht="15.75">
      <c r="D46" t="s">
        <v>149</v>
      </c>
      <c r="E46" s="63">
        <f>(((D$10*$F$33)/(D$73*$D$79))-273.15)*9/5+32</f>
        <v>458.76838888888886</v>
      </c>
      <c r="F46" s="63">
        <f>(((E$10*$F$33)/(E$73*$D$79))-273.15)*9/5+32</f>
        <v>458.76838888888926</v>
      </c>
      <c r="G46" s="63">
        <f>(((F$10*$F$33)/(F$73*$D$79))-273.15)*9/5+32</f>
        <v>458.7683888888887</v>
      </c>
      <c r="I46" s="93"/>
      <c r="J46" s="34"/>
      <c r="K46" s="34"/>
      <c r="L46" s="34"/>
      <c r="M46" s="34"/>
    </row>
    <row r="47" spans="4:13" ht="15.75">
      <c r="D47" t="s">
        <v>159</v>
      </c>
      <c r="E47" s="38">
        <f>E46-E44</f>
        <v>249.84722222222206</v>
      </c>
      <c r="F47" s="38">
        <f>F46-F44</f>
        <v>249.84722222222223</v>
      </c>
      <c r="G47" s="38">
        <f>G46-G44</f>
        <v>249.847222222222</v>
      </c>
      <c r="I47" s="93"/>
      <c r="J47" s="34"/>
      <c r="K47" s="34"/>
      <c r="L47" s="34"/>
      <c r="M47" s="34"/>
    </row>
    <row r="48" spans="1:3" ht="15.75">
      <c r="A48" s="30" t="s">
        <v>163</v>
      </c>
      <c r="B48" s="30"/>
      <c r="C48" s="30"/>
    </row>
    <row r="49" spans="1:7" ht="15.75">
      <c r="A49" s="30" t="s">
        <v>53</v>
      </c>
      <c r="B49" s="30"/>
      <c r="C49" s="30"/>
      <c r="D49" t="s">
        <v>164</v>
      </c>
      <c r="G49" t="s">
        <v>182</v>
      </c>
    </row>
    <row r="50" spans="1:7" ht="15.75">
      <c r="A50" s="70" t="s">
        <v>140</v>
      </c>
      <c r="B50" t="s">
        <v>167</v>
      </c>
      <c r="E50" t="s">
        <v>168</v>
      </c>
      <c r="G50" t="s">
        <v>169</v>
      </c>
    </row>
    <row r="51" spans="1:8" ht="15.75">
      <c r="A51" t="s">
        <v>175</v>
      </c>
      <c r="B51" t="s">
        <v>165</v>
      </c>
      <c r="C51" t="s">
        <v>166</v>
      </c>
      <c r="E51" t="s">
        <v>165</v>
      </c>
      <c r="F51" t="s">
        <v>166</v>
      </c>
      <c r="G51" t="s">
        <v>165</v>
      </c>
      <c r="H51" t="s">
        <v>166</v>
      </c>
    </row>
    <row r="52" spans="1:8" ht="15.75">
      <c r="A52" t="s">
        <v>171</v>
      </c>
      <c r="B52" s="54">
        <f>($D$73*$D$79*$F$14/$F$31)*$D$82</f>
        <v>522.8756884699154</v>
      </c>
      <c r="C52" s="54">
        <f>B52-B54</f>
        <v>14.308910856917862</v>
      </c>
      <c r="D52" s="54"/>
      <c r="E52" s="54">
        <f>($E$73*$D$79*$F$14/$F$31)*$D$82</f>
        <v>1672.7847465749044</v>
      </c>
      <c r="F52" s="54">
        <f>E52-E54</f>
        <v>45.777090710786524</v>
      </c>
      <c r="G52" s="54">
        <f>($F$73*$D$79*$F$14/$F$31)*$D$82</f>
        <v>2540.2600009348093</v>
      </c>
      <c r="H52" s="54">
        <f>G52-G54</f>
        <v>69.51624393388056</v>
      </c>
    </row>
    <row r="53" spans="1:8" ht="15.75">
      <c r="A53" t="s">
        <v>172</v>
      </c>
      <c r="B53" s="54">
        <f>($D$73*$D$79*$F$16/$F$32)*$D$82</f>
        <v>736.7026469349064</v>
      </c>
      <c r="C53" s="29">
        <f>B53-B55</f>
        <v>444.2154900754577</v>
      </c>
      <c r="D53" s="54"/>
      <c r="E53" s="54">
        <f>($E$73*$D$79*$F$16/$F$32)*$D$82</f>
        <v>2356.86029725395</v>
      </c>
      <c r="F53" s="29">
        <f>E53-E55</f>
        <v>1421.1349128986626</v>
      </c>
      <c r="G53" s="54">
        <f>($F$73*$D$79*$F$16/$F$32)*$D$82</f>
        <v>3579.084489599896</v>
      </c>
      <c r="H53" s="29">
        <f>G53-G55</f>
        <v>2158.1092143266947</v>
      </c>
    </row>
    <row r="54" spans="1:8" ht="15.75">
      <c r="A54" t="s">
        <v>173</v>
      </c>
      <c r="B54" s="54">
        <f>($D$73*$D$79*$F$15/$F$33)*$D$82</f>
        <v>508.56677761299756</v>
      </c>
      <c r="C54" s="54">
        <f>B54-B52</f>
        <v>-14.308910856917862</v>
      </c>
      <c r="D54" s="54"/>
      <c r="E54" s="54">
        <f>($E$73*$D$79*$F$15/$F$33)*$D$82</f>
        <v>1627.0076558641179</v>
      </c>
      <c r="F54" s="54">
        <f>E54-E52</f>
        <v>-45.777090710786524</v>
      </c>
      <c r="G54" s="54">
        <f>($F$73*$D$79*$F$15/$F$33)*$D$82</f>
        <v>2470.743757000929</v>
      </c>
      <c r="H54" s="54">
        <f>G54-G52</f>
        <v>-69.51624393388056</v>
      </c>
    </row>
    <row r="55" spans="1:8" ht="15.75">
      <c r="A55" t="s">
        <v>170</v>
      </c>
      <c r="B55" s="54">
        <f>($D$73*$D$79*$F$13/$F$32)*$D$82</f>
        <v>292.4871568594487</v>
      </c>
      <c r="C55" s="54">
        <f>B55-B53</f>
        <v>-444.2154900754577</v>
      </c>
      <c r="D55" s="54"/>
      <c r="E55" s="54">
        <f>($E$73*$D$79*$F$13/$F$32)*$D$82</f>
        <v>935.7253843552875</v>
      </c>
      <c r="F55" s="54">
        <f>E55-E53</f>
        <v>-1421.1349128986626</v>
      </c>
      <c r="G55" s="54">
        <f>($F$73*$D$79*$F$13/$F$32)*$D$82</f>
        <v>1420.9752752732015</v>
      </c>
      <c r="H55" s="54">
        <f>G55-G53</f>
        <v>-2158.1092143266947</v>
      </c>
    </row>
    <row r="56" spans="2:7" ht="15.75">
      <c r="B56" s="54"/>
      <c r="C56" s="54"/>
      <c r="D56" s="54"/>
      <c r="E56" s="54"/>
      <c r="F56" s="54"/>
      <c r="G56" s="54"/>
    </row>
    <row r="57" spans="1:9" ht="15.75">
      <c r="A57" s="30" t="s">
        <v>183</v>
      </c>
      <c r="B57" s="77"/>
      <c r="C57" s="54" t="s">
        <v>184</v>
      </c>
      <c r="D57" s="54">
        <f>G28</f>
        <v>78.53981633974483</v>
      </c>
      <c r="E57" s="54" t="s">
        <v>185</v>
      </c>
      <c r="F57" s="54"/>
      <c r="I57" t="s">
        <v>198</v>
      </c>
    </row>
    <row r="58" spans="2:9" ht="15.75">
      <c r="B58" s="54"/>
      <c r="C58" t="s">
        <v>165</v>
      </c>
      <c r="D58" s="29">
        <f>C53</f>
        <v>444.2154900754577</v>
      </c>
      <c r="E58" s="54" t="s">
        <v>186</v>
      </c>
      <c r="F58" s="29">
        <f>F53</f>
        <v>1421.1349128986626</v>
      </c>
      <c r="G58" s="54"/>
      <c r="H58" s="29">
        <f>H53</f>
        <v>2158.1092143266947</v>
      </c>
      <c r="I58" t="s">
        <v>186</v>
      </c>
    </row>
    <row r="59" spans="2:9" ht="15.75">
      <c r="B59" s="54"/>
      <c r="D59" s="67">
        <f>C53*$G$28</f>
        <v>34888.60300579619</v>
      </c>
      <c r="E59" s="67"/>
      <c r="F59" s="67">
        <f>F53*$G$28</f>
        <v>111615.67505306023</v>
      </c>
      <c r="G59" s="67"/>
      <c r="H59" s="67">
        <f>H53*$G$28</f>
        <v>169497.5013343296</v>
      </c>
      <c r="I59" t="s">
        <v>187</v>
      </c>
    </row>
    <row r="60" spans="2:8" ht="15.75">
      <c r="B60" s="54"/>
      <c r="C60" s="54" t="s">
        <v>191</v>
      </c>
      <c r="F60" s="67"/>
      <c r="G60" s="54"/>
      <c r="H60" s="68"/>
    </row>
    <row r="61" spans="1:12" ht="15.75">
      <c r="A61" s="70" t="s">
        <v>199</v>
      </c>
      <c r="B61" s="85"/>
      <c r="C61" s="54" t="s">
        <v>21</v>
      </c>
      <c r="D61" s="54">
        <f>(D59*($D$29/12))/6</f>
        <v>2422.819653180291</v>
      </c>
      <c r="E61" s="54"/>
      <c r="F61" s="54">
        <f>(F59*($D$29/12))/6</f>
        <v>7751.088545351406</v>
      </c>
      <c r="G61" s="54"/>
      <c r="H61" s="54">
        <f>(H59*($D$29/12))/6</f>
        <v>11770.659814884</v>
      </c>
      <c r="I61" t="s">
        <v>209</v>
      </c>
      <c r="K61" s="54"/>
      <c r="L61" s="54"/>
    </row>
    <row r="62" spans="1:9" ht="15.75">
      <c r="A62" s="30" t="s">
        <v>188</v>
      </c>
      <c r="B62" s="77"/>
      <c r="C62" s="54" t="s">
        <v>19</v>
      </c>
      <c r="D62" s="90">
        <v>750</v>
      </c>
      <c r="E62" s="54"/>
      <c r="F62" s="54"/>
      <c r="G62" s="54"/>
      <c r="H62" s="54"/>
      <c r="I62" s="54"/>
    </row>
    <row r="63" spans="2:9" ht="15.75">
      <c r="B63" s="54"/>
      <c r="C63" s="54" t="s">
        <v>76</v>
      </c>
      <c r="D63" s="54">
        <f>(D$61*$D$62)/$D$84</f>
        <v>345.9852893917019</v>
      </c>
      <c r="E63" s="54"/>
      <c r="F63" s="54">
        <f>(F$61*$D$62)/$D$84</f>
        <v>1106.8766963087498</v>
      </c>
      <c r="G63" s="54"/>
      <c r="H63" s="54">
        <f>(H$61*$D$62)/$D$84</f>
        <v>1680.8824945093297</v>
      </c>
      <c r="I63" s="54"/>
    </row>
    <row r="64" spans="2:9" ht="15.75">
      <c r="B64" s="54"/>
      <c r="C64" s="54" t="s">
        <v>195</v>
      </c>
      <c r="D64" s="84">
        <f>F65*G65*H65</f>
        <v>0.33766768108848166</v>
      </c>
      <c r="E64" s="69" t="s">
        <v>0</v>
      </c>
      <c r="F64" s="86" t="s">
        <v>196</v>
      </c>
      <c r="G64" s="86" t="s">
        <v>197</v>
      </c>
      <c r="H64" s="54" t="s">
        <v>194</v>
      </c>
      <c r="I64" s="68"/>
    </row>
    <row r="65" spans="1:9" ht="15.75">
      <c r="A65" s="30" t="s">
        <v>193</v>
      </c>
      <c r="B65" s="30" t="s">
        <v>190</v>
      </c>
      <c r="E65" t="s">
        <v>189</v>
      </c>
      <c r="F65" s="91">
        <v>0.7</v>
      </c>
      <c r="G65" s="91">
        <v>0.8</v>
      </c>
      <c r="H65" s="66">
        <f>((F16-F13)/F16)</f>
        <v>0.6029780019437173</v>
      </c>
      <c r="I65" s="68"/>
    </row>
    <row r="66" spans="7:9" ht="15.75">
      <c r="G66" t="s">
        <v>192</v>
      </c>
      <c r="I66" s="67"/>
    </row>
    <row r="67" spans="3:9" ht="15.75">
      <c r="C67" s="30" t="s">
        <v>200</v>
      </c>
      <c r="D67" s="54">
        <f>$D$63*$D$64</f>
        <v>116.82805035962323</v>
      </c>
      <c r="E67" s="54" t="s">
        <v>76</v>
      </c>
      <c r="F67" s="54">
        <f>F63*$D$64</f>
        <v>373.7564872934551</v>
      </c>
      <c r="G67" s="54" t="s">
        <v>76</v>
      </c>
      <c r="H67" s="54">
        <f>H63*$D$64</f>
        <v>567.5796941031879</v>
      </c>
      <c r="I67" t="s">
        <v>76</v>
      </c>
    </row>
    <row r="69" ht="15.75">
      <c r="E69" s="34"/>
    </row>
    <row r="71" spans="1:2" ht="15.75">
      <c r="A71" s="30" t="s">
        <v>207</v>
      </c>
      <c r="B71" s="30"/>
    </row>
    <row r="73" spans="1:6" ht="15.75">
      <c r="A73" s="83" t="s">
        <v>6</v>
      </c>
      <c r="B73" s="82" t="s">
        <v>139</v>
      </c>
      <c r="C73" s="34"/>
      <c r="D73" s="34">
        <f>(D$10*$F$25)/($D$79*$F$12)</f>
        <v>15.942618919164167</v>
      </c>
      <c r="E73" s="34">
        <f>(E$10*$F$25)/($D$79*$F$12)</f>
        <v>51.00365218064395</v>
      </c>
      <c r="F73" s="34">
        <f>(F$10*$F$25)/($D$79*$F$12)</f>
        <v>77.45320358842696</v>
      </c>
    </row>
    <row r="74" spans="1:11" ht="15.75">
      <c r="A74" s="78" t="s">
        <v>213</v>
      </c>
      <c r="B74" s="78"/>
      <c r="C74" s="78"/>
      <c r="D74" s="78">
        <v>1.34102209</v>
      </c>
      <c r="E74" s="78"/>
      <c r="F74" s="78"/>
      <c r="G74" s="96" t="s">
        <v>224</v>
      </c>
      <c r="H74" s="96"/>
      <c r="I74" s="96"/>
      <c r="J74" s="96">
        <v>1000</v>
      </c>
      <c r="K74" s="96">
        <v>1</v>
      </c>
    </row>
    <row r="75" spans="1:11" ht="15.75">
      <c r="A75" s="78" t="s">
        <v>221</v>
      </c>
      <c r="B75" s="78"/>
      <c r="C75" s="78"/>
      <c r="D75" s="78">
        <v>1000</v>
      </c>
      <c r="E75" s="78"/>
      <c r="F75" s="78"/>
      <c r="G75" s="99" t="s">
        <v>227</v>
      </c>
      <c r="H75" s="96"/>
      <c r="I75" s="96">
        <v>0.000247105</v>
      </c>
      <c r="J75" s="99" t="s">
        <v>228</v>
      </c>
      <c r="K75" s="96"/>
    </row>
    <row r="76" spans="1:11" ht="15.75">
      <c r="A76" s="79" t="s">
        <v>33</v>
      </c>
      <c r="B76" s="78"/>
      <c r="C76" s="78"/>
      <c r="D76" s="78">
        <v>33000</v>
      </c>
      <c r="E76" s="78"/>
      <c r="F76" s="78"/>
      <c r="G76" s="96"/>
      <c r="H76" s="96"/>
      <c r="I76" s="96"/>
      <c r="J76" s="96"/>
      <c r="K76" s="96"/>
    </row>
    <row r="77" spans="1:11" ht="15.75">
      <c r="A77" s="78" t="s">
        <v>180</v>
      </c>
      <c r="B77" s="78"/>
      <c r="C77" s="78"/>
      <c r="D77" s="78"/>
      <c r="E77" s="78"/>
      <c r="F77" s="78"/>
      <c r="G77" s="96"/>
      <c r="H77" s="96"/>
      <c r="I77" s="96"/>
      <c r="J77" s="96"/>
      <c r="K77" s="96"/>
    </row>
    <row r="78" spans="1:11" ht="15.75">
      <c r="A78" s="78" t="s">
        <v>210</v>
      </c>
      <c r="B78" s="78">
        <v>2.54</v>
      </c>
      <c r="C78" s="78" t="s">
        <v>90</v>
      </c>
      <c r="D78" s="78"/>
      <c r="E78" s="78"/>
      <c r="F78" s="78"/>
      <c r="G78" s="96"/>
      <c r="H78" s="96"/>
      <c r="I78" s="96"/>
      <c r="J78" s="96"/>
      <c r="K78" s="96"/>
    </row>
    <row r="79" spans="1:11" ht="15.75">
      <c r="A79" s="78" t="s">
        <v>8</v>
      </c>
      <c r="B79" s="78"/>
      <c r="C79" s="78"/>
      <c r="D79" s="78">
        <v>0.08206</v>
      </c>
      <c r="E79" s="78"/>
      <c r="F79" s="78"/>
      <c r="G79" s="96"/>
      <c r="H79" s="96"/>
      <c r="I79" s="96"/>
      <c r="J79" s="96"/>
      <c r="K79" s="96"/>
    </row>
    <row r="80" spans="1:11" ht="15.75">
      <c r="A80" s="78" t="s">
        <v>137</v>
      </c>
      <c r="B80" s="78"/>
      <c r="C80" s="78"/>
      <c r="D80" s="78">
        <v>0.016387064</v>
      </c>
      <c r="E80" s="78" t="s">
        <v>136</v>
      </c>
      <c r="F80" s="78"/>
      <c r="G80" s="96"/>
      <c r="H80" s="96"/>
      <c r="I80" s="96"/>
      <c r="J80" s="96"/>
      <c r="K80" s="96"/>
    </row>
    <row r="81" spans="1:11" ht="15.75">
      <c r="A81" s="78" t="s">
        <v>162</v>
      </c>
      <c r="B81" s="78"/>
      <c r="C81" s="78"/>
      <c r="D81" s="78">
        <v>2.54</v>
      </c>
      <c r="E81" s="78" t="s">
        <v>90</v>
      </c>
      <c r="F81" s="78"/>
      <c r="G81" s="96"/>
      <c r="H81" s="96"/>
      <c r="I81" s="96"/>
      <c r="J81" s="96"/>
      <c r="K81" s="96"/>
    </row>
    <row r="82" spans="1:11" ht="15.75">
      <c r="A82" s="78" t="s">
        <v>155</v>
      </c>
      <c r="B82" s="78"/>
      <c r="C82" s="78"/>
      <c r="D82" s="80">
        <v>14.6959487755134</v>
      </c>
      <c r="E82" s="78">
        <v>14.6959488</v>
      </c>
      <c r="F82" s="78"/>
      <c r="G82" s="96"/>
      <c r="H82" s="96"/>
      <c r="I82" s="96"/>
      <c r="J82" s="96"/>
      <c r="K82" s="96"/>
    </row>
    <row r="83" spans="1:11" ht="15.75">
      <c r="A83" s="78" t="s">
        <v>156</v>
      </c>
      <c r="B83" s="78"/>
      <c r="C83" s="78"/>
      <c r="D83" s="81">
        <f>1/D82</f>
        <v>0.06804596390987795</v>
      </c>
      <c r="E83" s="78"/>
      <c r="F83" s="78"/>
      <c r="G83" s="96"/>
      <c r="H83" s="96"/>
      <c r="I83" s="96"/>
      <c r="J83" s="96"/>
      <c r="K83" s="96"/>
    </row>
    <row r="84" spans="1:11" ht="15.75">
      <c r="A84" s="78" t="s">
        <v>201</v>
      </c>
      <c r="B84" s="78"/>
      <c r="C84" s="78"/>
      <c r="D84" s="78">
        <v>5252</v>
      </c>
      <c r="E84" s="78"/>
      <c r="F84" s="78"/>
      <c r="G84" s="96"/>
      <c r="H84" s="96"/>
      <c r="I84" s="96"/>
      <c r="J84" s="96"/>
      <c r="K84" s="96"/>
    </row>
    <row r="85" spans="2:5" ht="15.75">
      <c r="B85" t="s">
        <v>217</v>
      </c>
      <c r="E85" t="s">
        <v>218</v>
      </c>
    </row>
    <row r="86" ht="15.75">
      <c r="B86" t="s">
        <v>219</v>
      </c>
    </row>
    <row r="87" ht="15.75">
      <c r="B87" t="s">
        <v>220</v>
      </c>
    </row>
  </sheetData>
  <sheetProtection/>
  <printOptions/>
  <pageMargins left="0.25" right="0.25" top="0.25" bottom="0.2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2"/>
  <sheetViews>
    <sheetView zoomScalePageLayoutView="0" workbookViewId="0" topLeftCell="D10">
      <selection activeCell="I31" sqref="I31"/>
    </sheetView>
  </sheetViews>
  <sheetFormatPr defaultColWidth="9.00390625" defaultRowHeight="15.75"/>
  <cols>
    <col min="3" max="3" width="11.50390625" style="0" customWidth="1"/>
    <col min="4" max="4" width="11.375" style="0" bestFit="1" customWidth="1"/>
    <col min="5" max="5" width="12.125" style="0" customWidth="1"/>
    <col min="6" max="6" width="14.125" style="0" customWidth="1"/>
    <col min="7" max="7" width="10.375" style="0" bestFit="1" customWidth="1"/>
    <col min="8" max="8" width="13.00390625" style="0" customWidth="1"/>
    <col min="9" max="9" width="12.00390625" style="0" customWidth="1"/>
    <col min="10" max="10" width="7.25390625" style="0" customWidth="1"/>
    <col min="11" max="11" width="10.25390625" style="0" customWidth="1"/>
    <col min="12" max="12" width="12.00390625" style="0" customWidth="1"/>
    <col min="13" max="13" width="9.125" style="0" customWidth="1"/>
    <col min="14" max="14" width="8.50390625" style="0" customWidth="1"/>
    <col min="15" max="15" width="10.375" style="0" customWidth="1"/>
    <col min="16" max="16" width="6.75390625" style="0" customWidth="1"/>
    <col min="17" max="17" width="7.875" style="0" customWidth="1"/>
    <col min="18" max="18" width="9.375" style="0" customWidth="1"/>
  </cols>
  <sheetData>
    <row r="1" spans="4:10" ht="20.25">
      <c r="D1" s="45" t="s">
        <v>67</v>
      </c>
      <c r="E1" s="45"/>
      <c r="F1" s="45"/>
      <c r="G1" s="45"/>
      <c r="H1" s="45"/>
      <c r="I1" s="45"/>
      <c r="J1" s="45"/>
    </row>
    <row r="2" spans="2:12" ht="15.75">
      <c r="B2" t="s">
        <v>1</v>
      </c>
      <c r="C2" t="s">
        <v>2</v>
      </c>
      <c r="D2" t="s">
        <v>4</v>
      </c>
      <c r="J2" s="40" t="s">
        <v>33</v>
      </c>
      <c r="L2">
        <v>33000</v>
      </c>
    </row>
    <row r="3" spans="4:10" ht="15.75">
      <c r="D3" t="s">
        <v>3</v>
      </c>
      <c r="I3" s="38">
        <v>101300</v>
      </c>
      <c r="J3" t="s">
        <v>15</v>
      </c>
    </row>
    <row r="4" spans="4:10" ht="15.75">
      <c r="D4" t="s">
        <v>5</v>
      </c>
      <c r="G4">
        <v>0.000145037738</v>
      </c>
      <c r="I4">
        <v>14.6959488</v>
      </c>
      <c r="J4" t="s">
        <v>61</v>
      </c>
    </row>
    <row r="5" spans="2:8" ht="15.75">
      <c r="B5" s="47"/>
      <c r="F5" t="s">
        <v>8</v>
      </c>
      <c r="G5">
        <v>0.08206</v>
      </c>
      <c r="H5" t="s">
        <v>60</v>
      </c>
    </row>
    <row r="6" spans="1:12" ht="15.75">
      <c r="A6">
        <f>D37/F37*(J11-J11)</f>
        <v>0</v>
      </c>
      <c r="D6" s="1" t="s">
        <v>6</v>
      </c>
      <c r="E6" s="2" t="s">
        <v>0</v>
      </c>
      <c r="G6" s="1" t="s">
        <v>51</v>
      </c>
      <c r="I6" s="1" t="s">
        <v>93</v>
      </c>
      <c r="L6" s="1" t="s">
        <v>58</v>
      </c>
    </row>
    <row r="7" spans="3:12" ht="15.75" customHeight="1">
      <c r="C7" s="10"/>
      <c r="D7" s="3" t="s">
        <v>59</v>
      </c>
      <c r="E7" s="3"/>
      <c r="G7" s="26">
        <f>F37*F38</f>
        <v>4.472390255079568</v>
      </c>
      <c r="H7" s="25"/>
      <c r="I7" s="25">
        <f>(C37/2+D37+E37)*F38</f>
        <v>3.5255378853007238</v>
      </c>
      <c r="J7" s="25"/>
      <c r="K7" s="25"/>
      <c r="L7" s="25">
        <f>(D37+E37)*F38</f>
        <v>2.57868551552188</v>
      </c>
    </row>
    <row r="8" spans="3:11" ht="15.75">
      <c r="C8" s="10"/>
      <c r="D8" s="42" t="s">
        <v>55</v>
      </c>
      <c r="E8" s="43" t="s">
        <v>56</v>
      </c>
      <c r="F8" s="43" t="s">
        <v>57</v>
      </c>
      <c r="G8" s="43" t="s">
        <v>62</v>
      </c>
      <c r="I8" s="108" t="s">
        <v>31</v>
      </c>
      <c r="J8" s="108"/>
      <c r="K8" s="108"/>
    </row>
    <row r="9" spans="3:12" ht="15.75">
      <c r="C9" s="10"/>
      <c r="D9" s="50">
        <f>(F17*I7)/(G5*J10)</f>
        <v>0.14329733114453813</v>
      </c>
      <c r="E9" s="44">
        <f>($F17*(D$37*F$38))/($G$5*$J$10)</f>
        <v>0.08483019779406233</v>
      </c>
      <c r="F9" s="44">
        <f>($F17*(C$37/2*$F$38))/($G$5*$J$10)</f>
        <v>0.03848530975738366</v>
      </c>
      <c r="G9" s="44">
        <f>($F17*(E$37*$F$38))/($G$5*$J$10)</f>
        <v>0.019981823593092144</v>
      </c>
      <c r="J9" s="16" t="s">
        <v>13</v>
      </c>
      <c r="L9" s="17" t="s">
        <v>14</v>
      </c>
    </row>
    <row r="10" spans="3:12" ht="15.75">
      <c r="C10" s="10"/>
      <c r="D10" s="44">
        <f>(F20*I7)/(G5*J10)</f>
        <v>2.0934583325837663</v>
      </c>
      <c r="E10" s="44">
        <f>($F$20*(D$37*F$38))/($G$5*$J$10)</f>
        <v>1.2393007113829817</v>
      </c>
      <c r="F10" s="44">
        <f>($F20*(C$37/2*$F$38))/($G$5*$J$10)</f>
        <v>0.5622393086469777</v>
      </c>
      <c r="G10" s="44">
        <f>($F20*(E$37*$F$38))/($G$5*$J$10)</f>
        <v>0.29191831255380685</v>
      </c>
      <c r="I10" t="s">
        <v>52</v>
      </c>
      <c r="J10" s="18">
        <f>L10+273.15</f>
        <v>299.81666666666666</v>
      </c>
      <c r="K10" t="s">
        <v>47</v>
      </c>
      <c r="L10" s="19">
        <f>(C16-32)*(5/9)</f>
        <v>26.666666666666668</v>
      </c>
    </row>
    <row r="11" spans="3:12" ht="15.75">
      <c r="C11" s="10"/>
      <c r="D11" s="44">
        <f>(F24*I7)/(G5*J10)</f>
        <v>5.018699834742609</v>
      </c>
      <c r="E11" s="44">
        <f>($F$24*(D$37*F$38))/($G$5*$J$10)</f>
        <v>2.971006481766361</v>
      </c>
      <c r="F11" s="44">
        <f>($F24*(C$37/2*$F$38))/($G$5*$J$10)</f>
        <v>1.347870306981369</v>
      </c>
      <c r="G11" s="44">
        <f>($F24*(E$37*$F$38))/($G$5*$J$10)</f>
        <v>0.699823045994879</v>
      </c>
      <c r="I11" t="s">
        <v>53</v>
      </c>
      <c r="J11" s="18">
        <f>L11+273.15</f>
        <v>310.92777777777775</v>
      </c>
      <c r="K11" t="s">
        <v>47</v>
      </c>
      <c r="L11" s="19">
        <f>(C17-32)*(5/9)</f>
        <v>37.77777777777778</v>
      </c>
    </row>
    <row r="12" spans="3:10" ht="15.75">
      <c r="C12" t="s">
        <v>7</v>
      </c>
      <c r="I12" s="34"/>
      <c r="J12" s="36"/>
    </row>
    <row r="13" spans="3:13" ht="16.5" customHeight="1">
      <c r="C13" t="s">
        <v>41</v>
      </c>
      <c r="D13" t="s">
        <v>39</v>
      </c>
      <c r="E13" t="s">
        <v>40</v>
      </c>
      <c r="G13">
        <f>D37/F37*(J11-J11)</f>
        <v>0</v>
      </c>
      <c r="I13" s="39" t="s">
        <v>54</v>
      </c>
      <c r="J13" s="18">
        <f>L13+273.15</f>
        <v>672.0388888888889</v>
      </c>
      <c r="K13" t="s">
        <v>47</v>
      </c>
      <c r="L13" s="20">
        <f>(C18-32)*(5/9)</f>
        <v>398.8888888888889</v>
      </c>
      <c r="M13" t="s">
        <v>46</v>
      </c>
    </row>
    <row r="14" ht="15" customHeight="1">
      <c r="H14" s="3"/>
    </row>
    <row r="15" spans="2:13" ht="15.75">
      <c r="B15" t="s">
        <v>64</v>
      </c>
      <c r="C15" s="41" t="s">
        <v>63</v>
      </c>
      <c r="D15" s="12" t="s">
        <v>45</v>
      </c>
      <c r="E15" s="13" t="s">
        <v>43</v>
      </c>
      <c r="F15" s="12" t="s">
        <v>44</v>
      </c>
      <c r="H15" t="s">
        <v>99</v>
      </c>
      <c r="I15" t="s">
        <v>96</v>
      </c>
      <c r="L15" t="s">
        <v>97</v>
      </c>
      <c r="M15" t="s">
        <v>98</v>
      </c>
    </row>
    <row r="16" spans="2:13" ht="15.75">
      <c r="B16" t="s">
        <v>50</v>
      </c>
      <c r="C16" s="37">
        <v>80</v>
      </c>
      <c r="D16" s="14">
        <f>G$4*I$3</f>
        <v>14.692322859399999</v>
      </c>
      <c r="E16" s="14">
        <f>$D16/$G$4</f>
        <v>101300</v>
      </c>
      <c r="F16" s="15">
        <f>D16/I4</f>
        <v>0.9997532693772041</v>
      </c>
      <c r="H16" s="21" t="s">
        <v>9</v>
      </c>
      <c r="I16" s="23">
        <f>D9*G5*J11/I7</f>
        <v>1.0370596846220839</v>
      </c>
      <c r="J16" s="22" t="s">
        <v>95</v>
      </c>
      <c r="K16" s="4">
        <f>I16*$I$4</f>
        <v>15.240576027750292</v>
      </c>
      <c r="L16">
        <f>D9*G5*((J13-J11)/2)/G7</f>
        <v>0.4747235513640555</v>
      </c>
      <c r="M16">
        <f>D9*G5*((J13-J11)/2)/L7</f>
        <v>0.8233454495313589</v>
      </c>
    </row>
    <row r="17" spans="2:13" ht="15.75">
      <c r="B17" t="s">
        <v>48</v>
      </c>
      <c r="C17" s="33">
        <v>100</v>
      </c>
      <c r="D17" s="31">
        <v>0</v>
      </c>
      <c r="E17" s="14">
        <f>($D17+14.6923228594)/$G$4</f>
        <v>101300.00000000001</v>
      </c>
      <c r="F17" s="15">
        <f>(D17+I4)/I4</f>
        <v>1</v>
      </c>
      <c r="H17" s="21" t="s">
        <v>10</v>
      </c>
      <c r="I17" s="23">
        <f>D9*G5*((((C37+E37)/F37)*J11)+(D37/F37)*J13)/I7</f>
        <v>1.5991202957732147</v>
      </c>
      <c r="J17" s="22" t="s">
        <v>95</v>
      </c>
      <c r="K17" s="4">
        <f>I17*$I$4</f>
        <v>23.50058999172402</v>
      </c>
      <c r="L17">
        <f>D9*G5*((J13-J11)/2)/G7</f>
        <v>0.4747235513640555</v>
      </c>
      <c r="M17">
        <f>D9*G5*((J13-J11)/2)/L7</f>
        <v>0.8233454495313589</v>
      </c>
    </row>
    <row r="18" spans="2:13" ht="15.75">
      <c r="B18" t="s">
        <v>49</v>
      </c>
      <c r="C18" s="33">
        <v>750</v>
      </c>
      <c r="D18" s="34"/>
      <c r="H18" s="21" t="s">
        <v>11</v>
      </c>
      <c r="I18" s="23">
        <f>I17-I16</f>
        <v>0.5620606111511308</v>
      </c>
      <c r="J18" s="24" t="s">
        <v>95</v>
      </c>
      <c r="K18" s="4">
        <f>I18*$I$4</f>
        <v>8.260013963973728</v>
      </c>
      <c r="L18" s="11">
        <f>M16-L16</f>
        <v>0.34862189816730343</v>
      </c>
      <c r="M18">
        <f>M17-L17</f>
        <v>0.34862189816730343</v>
      </c>
    </row>
    <row r="19" spans="4:11" ht="3" customHeight="1">
      <c r="D19" s="32"/>
      <c r="H19" s="25"/>
      <c r="I19" s="26"/>
      <c r="J19" s="25"/>
      <c r="K19" s="4"/>
    </row>
    <row r="20" spans="4:13" ht="15.75">
      <c r="D20" s="31">
        <v>200</v>
      </c>
      <c r="E20" s="14">
        <f>($D20+14.6923228594)/$G$4</f>
        <v>1480251.4560686268</v>
      </c>
      <c r="F20" s="15">
        <f>(D20+I4)/I4</f>
        <v>14.60919275929976</v>
      </c>
      <c r="H20" s="21" t="s">
        <v>9</v>
      </c>
      <c r="I20" s="23">
        <f>D10*G5*J11/I7</f>
        <v>15.150604835542639</v>
      </c>
      <c r="J20" s="22" t="s">
        <v>95</v>
      </c>
      <c r="K20" s="4">
        <f>I20*$I$4</f>
        <v>222.65251295216706</v>
      </c>
      <c r="L20">
        <f>D10*G5*((J13-J11)/2)/G7</f>
        <v>6.9353278692568265</v>
      </c>
      <c r="M20">
        <f>D10*G5*((J13-J11)/2)/L7</f>
        <v>12.028412379695936</v>
      </c>
    </row>
    <row r="21" spans="4:14" ht="15.75">
      <c r="D21" s="34"/>
      <c r="H21" s="21" t="s">
        <v>10</v>
      </c>
      <c r="I21" s="23">
        <f>D10*G5*((((C37+E37)/F37)*J11)+(D37/F37)*J13)/I7</f>
        <v>23.361856646259337</v>
      </c>
      <c r="J21" s="22" t="s">
        <v>95</v>
      </c>
      <c r="K21" s="4">
        <f>I21*$I$4</f>
        <v>343.32464914636694</v>
      </c>
      <c r="L21">
        <f>D10*G5*((J13-J11)/2)/G7</f>
        <v>6.9353278692568265</v>
      </c>
      <c r="M21">
        <f>D10*G5*((J13-J11)/2)/L7</f>
        <v>12.028412379695936</v>
      </c>
      <c r="N21" s="9"/>
    </row>
    <row r="22" spans="4:16" ht="15.75">
      <c r="D22" s="34"/>
      <c r="H22" s="21" t="s">
        <v>11</v>
      </c>
      <c r="I22" s="23">
        <f>I21-I20</f>
        <v>8.211251810716698</v>
      </c>
      <c r="J22" s="22" t="s">
        <v>95</v>
      </c>
      <c r="K22" s="4">
        <f>I22*$I$4</f>
        <v>120.6721361941999</v>
      </c>
      <c r="L22" s="3"/>
      <c r="N22" s="6"/>
      <c r="O22" s="7"/>
      <c r="P22" s="7"/>
    </row>
    <row r="23" spans="4:16" ht="4.5" customHeight="1">
      <c r="D23" s="34">
        <v>0</v>
      </c>
      <c r="H23" s="25"/>
      <c r="I23" s="26"/>
      <c r="J23" s="25"/>
      <c r="K23" s="4"/>
      <c r="N23" s="8"/>
      <c r="O23" s="8"/>
      <c r="P23" s="8"/>
    </row>
    <row r="24" spans="4:16" ht="15.75">
      <c r="D24" s="31">
        <v>500</v>
      </c>
      <c r="E24" s="14">
        <f>($D24+14.6923228594)/$G$4</f>
        <v>3548678.640171567</v>
      </c>
      <c r="F24" s="15">
        <f>(D24+I4)/I4</f>
        <v>35.0229818982494</v>
      </c>
      <c r="H24" s="21" t="s">
        <v>9</v>
      </c>
      <c r="I24" s="23">
        <f>D11*G5*J11/I7</f>
        <v>36.32092256192347</v>
      </c>
      <c r="J24" s="22" t="s">
        <v>95</v>
      </c>
      <c r="K24" s="4">
        <f>I24*$I$4</f>
        <v>533.7704183387921</v>
      </c>
      <c r="L24">
        <f>D11*G5*((J13-J11)/2)/G7</f>
        <v>16.626234346095984</v>
      </c>
      <c r="M24">
        <f>D11*G5*((J13-J11)/2)/L7</f>
        <v>28.836012774942805</v>
      </c>
      <c r="N24" s="9"/>
      <c r="O24" s="7"/>
      <c r="P24" s="6"/>
    </row>
    <row r="25" spans="4:15" ht="15.75">
      <c r="D25" s="35"/>
      <c r="E25" s="35"/>
      <c r="F25" s="35"/>
      <c r="H25" s="21" t="s">
        <v>10</v>
      </c>
      <c r="I25" s="23">
        <f>D11*G5*((((C37+E37)/F37)*J11)+(D37/F37)*J13)/I7</f>
        <v>56.005961171988524</v>
      </c>
      <c r="J25" s="22" t="s">
        <v>95</v>
      </c>
      <c r="K25" s="4">
        <f>I25*$I$4</f>
        <v>823.0607378783313</v>
      </c>
      <c r="L25">
        <f>D11*G5*((J13-J11)/2)/G7</f>
        <v>16.626234346095984</v>
      </c>
      <c r="M25">
        <f>D11*G5*((J13-J11)/2)/L7</f>
        <v>28.836012774942805</v>
      </c>
      <c r="N25" s="9"/>
      <c r="O25" s="7"/>
    </row>
    <row r="26" spans="8:16" ht="15.75">
      <c r="H26" s="21" t="s">
        <v>11</v>
      </c>
      <c r="I26" s="23">
        <f>I25-I24</f>
        <v>19.685038610065057</v>
      </c>
      <c r="J26" s="22" t="s">
        <v>95</v>
      </c>
      <c r="K26" s="4">
        <f>I26*$I$4</f>
        <v>289.2903195395392</v>
      </c>
      <c r="L26" s="3"/>
      <c r="M26" s="3"/>
      <c r="N26" s="5"/>
      <c r="O26" s="3"/>
      <c r="P26" s="3"/>
    </row>
    <row r="27" spans="3:13" ht="15.75">
      <c r="C27" t="s">
        <v>36</v>
      </c>
      <c r="D27" t="s">
        <v>36</v>
      </c>
      <c r="E27" t="s">
        <v>37</v>
      </c>
      <c r="F27" t="s">
        <v>38</v>
      </c>
      <c r="G27" t="s">
        <v>38</v>
      </c>
      <c r="H27" s="27" t="s">
        <v>42</v>
      </c>
      <c r="I27" s="27"/>
      <c r="J27" s="27"/>
      <c r="K27" s="27"/>
      <c r="L27" s="27"/>
      <c r="M27" s="27"/>
    </row>
    <row r="28" spans="3:13" ht="15.75">
      <c r="C28" t="s">
        <v>16</v>
      </c>
      <c r="D28" t="s">
        <v>35</v>
      </c>
      <c r="E28" t="s">
        <v>19</v>
      </c>
      <c r="F28" s="34" t="s">
        <v>24</v>
      </c>
      <c r="G28" t="s">
        <v>16</v>
      </c>
      <c r="I28" s="34"/>
      <c r="J28" s="34"/>
      <c r="K28" s="34"/>
      <c r="L28" s="34"/>
      <c r="M28" s="34"/>
    </row>
    <row r="29" spans="2:14" ht="15.75">
      <c r="B29" t="s">
        <v>91</v>
      </c>
      <c r="C29" s="28">
        <f>E43/2</f>
        <v>3.0325</v>
      </c>
      <c r="D29" s="28">
        <f>F43</f>
        <v>4</v>
      </c>
      <c r="E29" s="32">
        <v>1200</v>
      </c>
      <c r="F29" s="28">
        <f>D43</f>
        <v>20</v>
      </c>
      <c r="G29" s="28">
        <f>C43/2</f>
        <v>2.5235</v>
      </c>
      <c r="H29" s="28" t="s">
        <v>66</v>
      </c>
      <c r="I29" s="29">
        <f>D17</f>
        <v>0</v>
      </c>
      <c r="J29" s="28" t="s">
        <v>12</v>
      </c>
      <c r="K29" s="29">
        <f>D20</f>
        <v>200</v>
      </c>
      <c r="L29" s="28" t="s">
        <v>12</v>
      </c>
      <c r="M29" s="29">
        <f>D24</f>
        <v>500</v>
      </c>
      <c r="N29" s="28" t="s">
        <v>12</v>
      </c>
    </row>
    <row r="30" spans="3:14" ht="15.75">
      <c r="C30" s="34">
        <v>2.5235</v>
      </c>
      <c r="G30">
        <v>2.5235</v>
      </c>
      <c r="H30" s="28" t="s">
        <v>17</v>
      </c>
      <c r="I30" s="52">
        <f>PI()*($C$29)^2*($I18*I4)</f>
        <v>238.6339737956778</v>
      </c>
      <c r="J30" s="28" t="s">
        <v>18</v>
      </c>
      <c r="K30" s="29">
        <f>PI()*($C$29)^2*($I22*I4)</f>
        <v>3486.2497220987448</v>
      </c>
      <c r="M30" s="29">
        <f>PI()*($C$29)^2*I26*I4</f>
        <v>8357.673344553348</v>
      </c>
      <c r="N30" s="28"/>
    </row>
    <row r="31" spans="2:14" ht="15.75">
      <c r="B31" s="34" t="s">
        <v>70</v>
      </c>
      <c r="E31">
        <f>D37/F37</f>
        <v>0.4666573077229703</v>
      </c>
      <c r="H31" s="28" t="s">
        <v>21</v>
      </c>
      <c r="I31" s="53">
        <f>$I$30*($D$29/2)/12</f>
        <v>39.7723289659463</v>
      </c>
      <c r="J31" s="28" t="s">
        <v>22</v>
      </c>
      <c r="K31" s="29">
        <f>$K$30*$D$29/2/12</f>
        <v>581.0416203497908</v>
      </c>
      <c r="M31" s="29">
        <f>$M$30*$D$29/2/12</f>
        <v>1392.945557425558</v>
      </c>
      <c r="N31" s="28"/>
    </row>
    <row r="32" spans="8:14" ht="15.75">
      <c r="H32" s="28" t="s">
        <v>20</v>
      </c>
      <c r="I32" s="46">
        <f>I31*E29*2/L2</f>
        <v>2.8925330157051854</v>
      </c>
      <c r="J32" s="28"/>
      <c r="K32" s="53">
        <f>K31*E29*2/L2</f>
        <v>42.2575723890757</v>
      </c>
      <c r="M32" s="51">
        <f>M31*E29*2/L2</f>
        <v>101.3051314491315</v>
      </c>
      <c r="N32" s="28"/>
    </row>
    <row r="34" spans="3:7" ht="15.75">
      <c r="C34" s="109" t="s">
        <v>32</v>
      </c>
      <c r="D34" s="109"/>
      <c r="E34" s="109"/>
      <c r="F34" s="109"/>
      <c r="G34" s="109"/>
    </row>
    <row r="36" spans="3:32" ht="20.25" customHeight="1">
      <c r="C36" s="30" t="s">
        <v>30</v>
      </c>
      <c r="D36" s="30" t="s">
        <v>28</v>
      </c>
      <c r="E36" s="30" t="s">
        <v>26</v>
      </c>
      <c r="F36" s="30" t="s">
        <v>27</v>
      </c>
      <c r="G36" s="30">
        <f>F37*F38</f>
        <v>4.472390255079568</v>
      </c>
      <c r="H36" s="30" t="s">
        <v>68</v>
      </c>
      <c r="I36" s="30" t="s">
        <v>69</v>
      </c>
      <c r="J36" s="30" t="s">
        <v>34</v>
      </c>
      <c r="K36" s="30"/>
      <c r="M36" t="s">
        <v>23</v>
      </c>
      <c r="N36" t="s">
        <v>25</v>
      </c>
      <c r="R36" s="111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2:11" ht="15.75">
      <c r="B37" t="s">
        <v>94</v>
      </c>
      <c r="C37" s="30">
        <f>3.14159*(C29)^2*D29</f>
        <v>115.56095341775001</v>
      </c>
      <c r="D37" s="30">
        <f>(I37/2)^2*F29</f>
        <v>127.36104499999998</v>
      </c>
      <c r="E37" s="32">
        <v>30</v>
      </c>
      <c r="F37" s="30">
        <f>C37+D37+E37</f>
        <v>272.92199841775</v>
      </c>
      <c r="G37" s="30">
        <f>D37/(C37+E37)</f>
        <v>0.8749670980409319</v>
      </c>
      <c r="H37" s="30">
        <f>E43</f>
        <v>6.065</v>
      </c>
      <c r="I37" s="30">
        <f>G29*2</f>
        <v>5.047</v>
      </c>
      <c r="J37" s="30">
        <f>1/3.14159265</f>
        <v>0.31830988654751274</v>
      </c>
      <c r="K37" s="30" t="s">
        <v>65</v>
      </c>
    </row>
    <row r="38" spans="3:11" ht="15.75">
      <c r="C38" s="43" t="s">
        <v>29</v>
      </c>
      <c r="D38" s="43"/>
      <c r="E38" s="43"/>
      <c r="F38" s="43">
        <v>0.016387064</v>
      </c>
      <c r="G38" s="30"/>
      <c r="H38" s="30"/>
      <c r="I38" s="30"/>
      <c r="J38" s="30"/>
      <c r="K38" s="30"/>
    </row>
    <row r="39" spans="3:6" ht="15.75">
      <c r="C39" s="43" t="s">
        <v>89</v>
      </c>
      <c r="D39" s="43"/>
      <c r="E39" s="43"/>
      <c r="F39" s="43">
        <v>2.54</v>
      </c>
    </row>
    <row r="40" spans="7:13" ht="15.75">
      <c r="G40" t="s">
        <v>80</v>
      </c>
      <c r="H40" s="54">
        <f>D20</f>
        <v>200</v>
      </c>
      <c r="I40" t="s">
        <v>12</v>
      </c>
      <c r="L40" t="s">
        <v>78</v>
      </c>
      <c r="M40" t="s">
        <v>79</v>
      </c>
    </row>
    <row r="41" spans="3:13" ht="15.75">
      <c r="C41" t="s">
        <v>71</v>
      </c>
      <c r="E41" t="s">
        <v>74</v>
      </c>
      <c r="G41" t="s">
        <v>76</v>
      </c>
      <c r="I41" t="s">
        <v>77</v>
      </c>
      <c r="K41" t="s">
        <v>81</v>
      </c>
      <c r="L41">
        <v>9.11</v>
      </c>
      <c r="M41">
        <v>3.55</v>
      </c>
    </row>
    <row r="42" spans="3:13" ht="15.75">
      <c r="C42" t="s">
        <v>72</v>
      </c>
      <c r="D42" t="s">
        <v>73</v>
      </c>
      <c r="E42" t="s">
        <v>72</v>
      </c>
      <c r="F42" t="s">
        <v>75</v>
      </c>
      <c r="L42">
        <v>10.79</v>
      </c>
      <c r="M42">
        <v>4.03</v>
      </c>
    </row>
    <row r="43" spans="1:14" ht="15.75">
      <c r="A43">
        <f>C43*F39*10</f>
        <v>128.19379999999998</v>
      </c>
      <c r="B43" t="s">
        <v>92</v>
      </c>
      <c r="C43" s="32">
        <v>5.047</v>
      </c>
      <c r="D43" s="32">
        <v>20</v>
      </c>
      <c r="E43" s="32">
        <v>6.065</v>
      </c>
      <c r="F43" s="32">
        <v>4</v>
      </c>
      <c r="G43" s="58">
        <f>I32</f>
        <v>2.8925330157051854</v>
      </c>
      <c r="H43" s="48">
        <f>K32</f>
        <v>42.2575723890757</v>
      </c>
      <c r="I43">
        <f>D43/12*L43+(F43+4)/12*L44</f>
        <v>37.013333333333335</v>
      </c>
      <c r="K43">
        <f>I43/H43</f>
        <v>0.8758982412085251</v>
      </c>
      <c r="L43">
        <v>14.62</v>
      </c>
      <c r="M43">
        <v>5.05</v>
      </c>
      <c r="N43" s="47"/>
    </row>
    <row r="44" spans="2:13" ht="15.75">
      <c r="B44" t="s">
        <v>87</v>
      </c>
      <c r="C44" s="25">
        <f>D43/PI()</f>
        <v>6.366197723675814</v>
      </c>
      <c r="D44" t="s">
        <v>91</v>
      </c>
      <c r="L44">
        <v>18.97</v>
      </c>
      <c r="M44">
        <v>6.07</v>
      </c>
    </row>
    <row r="45" spans="2:13" ht="15.75">
      <c r="B45" t="s">
        <v>88</v>
      </c>
      <c r="C45" s="25">
        <f>C44*F39</f>
        <v>16.17014221813657</v>
      </c>
      <c r="D45" t="s">
        <v>90</v>
      </c>
      <c r="E45">
        <f>H43/2</f>
        <v>21.12878619453785</v>
      </c>
      <c r="G45" s="58"/>
      <c r="L45">
        <v>28.55</v>
      </c>
      <c r="M45">
        <v>7.98</v>
      </c>
    </row>
    <row r="46" ht="15.75">
      <c r="B46" s="34"/>
    </row>
    <row r="47" spans="3:8" ht="15.75">
      <c r="C47" s="32">
        <v>5.047</v>
      </c>
      <c r="D47" s="32">
        <v>20</v>
      </c>
      <c r="E47" s="32">
        <v>6.065</v>
      </c>
      <c r="F47" s="32">
        <v>4</v>
      </c>
      <c r="G47" s="58">
        <v>1.200485488798002</v>
      </c>
      <c r="H47">
        <v>9.369304699695103</v>
      </c>
    </row>
    <row r="48" spans="3:7" ht="15.75">
      <c r="C48">
        <f>C43/C47</f>
        <v>1</v>
      </c>
      <c r="D48">
        <f>D43/D47</f>
        <v>1</v>
      </c>
      <c r="E48">
        <f>E43/E47</f>
        <v>1</v>
      </c>
      <c r="F48">
        <f>F43/F47</f>
        <v>1</v>
      </c>
      <c r="G48">
        <f>G43/G47</f>
        <v>2.4094693710969906</v>
      </c>
    </row>
    <row r="49" spans="3:7" ht="15.75">
      <c r="C49" s="34">
        <f>1-C48</f>
        <v>0</v>
      </c>
      <c r="D49" s="34">
        <f>1-D48</f>
        <v>0</v>
      </c>
      <c r="E49" s="34">
        <f>1-E48</f>
        <v>0</v>
      </c>
      <c r="F49" s="34">
        <f>1-F48</f>
        <v>0</v>
      </c>
      <c r="G49" s="34">
        <f>1-G48</f>
        <v>-1.4094693710969906</v>
      </c>
    </row>
    <row r="50" spans="3:6" ht="15.75">
      <c r="C50">
        <f>C49-$G49</f>
        <v>1.4094693710969906</v>
      </c>
      <c r="D50">
        <f>D49-$G49</f>
        <v>1.4094693710969906</v>
      </c>
      <c r="E50">
        <f>E49-$G49</f>
        <v>1.4094693710969906</v>
      </c>
      <c r="F50">
        <f>F49-$G49</f>
        <v>1.4094693710969906</v>
      </c>
    </row>
    <row r="54" spans="3:12" ht="15.75">
      <c r="C54" s="55">
        <v>5.047</v>
      </c>
      <c r="D54" s="55">
        <v>20</v>
      </c>
      <c r="E54" s="55">
        <v>6.065</v>
      </c>
      <c r="F54" s="55">
        <v>4</v>
      </c>
      <c r="G54" s="56">
        <v>1.200485488798002</v>
      </c>
      <c r="H54" s="57">
        <v>9.369304699695103</v>
      </c>
      <c r="I54" s="55">
        <v>43.336666666666666</v>
      </c>
      <c r="J54" s="55"/>
      <c r="K54" s="55">
        <v>4.625387694785605</v>
      </c>
      <c r="L54" t="s">
        <v>82</v>
      </c>
    </row>
    <row r="55" spans="2:5" ht="15.75">
      <c r="B55" t="s">
        <v>83</v>
      </c>
      <c r="C55" s="49">
        <v>5.563</v>
      </c>
      <c r="D55" s="49">
        <v>0.84</v>
      </c>
      <c r="E55" s="49">
        <v>6.625</v>
      </c>
    </row>
    <row r="56" spans="2:9" ht="15.75">
      <c r="B56" t="s">
        <v>84</v>
      </c>
      <c r="C56" s="49">
        <f>C55-0.258-0.258</f>
        <v>5.047</v>
      </c>
      <c r="D56" s="49">
        <v>0.546</v>
      </c>
      <c r="E56" s="49">
        <f>E55-0.28-0.28</f>
        <v>6.0649999999999995</v>
      </c>
      <c r="F56" t="s">
        <v>100</v>
      </c>
      <c r="I56" t="s">
        <v>121</v>
      </c>
    </row>
    <row r="57" spans="2:9" ht="15.75">
      <c r="B57" t="s">
        <v>86</v>
      </c>
      <c r="C57">
        <v>0.258</v>
      </c>
      <c r="D57">
        <v>0.147</v>
      </c>
      <c r="E57">
        <v>0.28</v>
      </c>
      <c r="F57" t="s">
        <v>101</v>
      </c>
      <c r="I57" t="s">
        <v>122</v>
      </c>
    </row>
    <row r="58" spans="2:6" ht="15.75">
      <c r="B58" t="s">
        <v>85</v>
      </c>
      <c r="C58">
        <v>20</v>
      </c>
      <c r="D58">
        <v>5</v>
      </c>
      <c r="E58">
        <v>12</v>
      </c>
      <c r="F58" t="s">
        <v>102</v>
      </c>
    </row>
    <row r="59" spans="2:9" ht="15.75">
      <c r="B59" t="s">
        <v>119</v>
      </c>
      <c r="C59">
        <v>14.62</v>
      </c>
      <c r="D59">
        <v>1.088</v>
      </c>
      <c r="E59">
        <v>18.97</v>
      </c>
      <c r="F59" t="s">
        <v>114</v>
      </c>
      <c r="I59" t="s">
        <v>116</v>
      </c>
    </row>
    <row r="60" spans="6:10" ht="15.75">
      <c r="F60" t="s">
        <v>113</v>
      </c>
      <c r="I60" t="s">
        <v>117</v>
      </c>
      <c r="J60" t="s">
        <v>120</v>
      </c>
    </row>
    <row r="61" ht="15.75">
      <c r="F61" t="s">
        <v>112</v>
      </c>
    </row>
    <row r="62" spans="6:12" ht="15.75">
      <c r="F62" t="s">
        <v>115</v>
      </c>
      <c r="K62">
        <v>0.866141732</v>
      </c>
      <c r="L62" t="s">
        <v>118</v>
      </c>
    </row>
    <row r="63" spans="6:11" ht="15.75">
      <c r="F63" t="s">
        <v>103</v>
      </c>
      <c r="K63">
        <v>0.25</v>
      </c>
    </row>
    <row r="64" spans="6:12" ht="15.75">
      <c r="F64" s="107" t="s">
        <v>104</v>
      </c>
      <c r="G64" s="107" t="s">
        <v>105</v>
      </c>
      <c r="H64" s="110"/>
      <c r="I64" s="110"/>
      <c r="J64" s="107" t="s">
        <v>106</v>
      </c>
      <c r="K64" s="110"/>
      <c r="L64" s="107" t="s">
        <v>107</v>
      </c>
    </row>
    <row r="65" spans="6:12" ht="15.75">
      <c r="F65" s="105"/>
      <c r="G65" s="105"/>
      <c r="H65" s="110"/>
      <c r="I65" s="110"/>
      <c r="J65" s="105"/>
      <c r="K65" s="110"/>
      <c r="L65" s="105"/>
    </row>
    <row r="66" spans="6:12" ht="15.75">
      <c r="F66" s="105"/>
      <c r="G66" s="107" t="s">
        <v>108</v>
      </c>
      <c r="H66" s="107" t="s">
        <v>109</v>
      </c>
      <c r="I66" s="107" t="s">
        <v>110</v>
      </c>
      <c r="J66" s="107" t="s">
        <v>111</v>
      </c>
      <c r="K66" s="107" t="s">
        <v>39</v>
      </c>
      <c r="L66" s="105"/>
    </row>
    <row r="67" spans="6:12" ht="15.75">
      <c r="F67" s="110"/>
      <c r="G67" s="105"/>
      <c r="H67" s="105"/>
      <c r="I67" s="105"/>
      <c r="J67" s="105"/>
      <c r="K67" s="105"/>
      <c r="L67" s="110"/>
    </row>
    <row r="68" spans="6:12" ht="15.75">
      <c r="F68" s="104">
        <v>6800</v>
      </c>
      <c r="G68" s="104">
        <v>10</v>
      </c>
      <c r="H68" s="104">
        <v>19</v>
      </c>
      <c r="I68" s="104">
        <v>5</v>
      </c>
      <c r="J68" s="104">
        <v>411</v>
      </c>
      <c r="K68" s="104">
        <v>208</v>
      </c>
      <c r="L68" s="104">
        <v>0.011</v>
      </c>
    </row>
    <row r="69" spans="6:12" ht="15.75">
      <c r="F69" s="105"/>
      <c r="G69" s="105"/>
      <c r="H69" s="105"/>
      <c r="I69" s="105"/>
      <c r="J69" s="105"/>
      <c r="K69" s="105"/>
      <c r="L69" s="105"/>
    </row>
    <row r="70" spans="6:12" ht="15.75">
      <c r="F70" s="104">
        <v>6801</v>
      </c>
      <c r="G70" s="104">
        <v>12</v>
      </c>
      <c r="H70" s="104">
        <v>21</v>
      </c>
      <c r="I70" s="104">
        <v>5</v>
      </c>
      <c r="J70" s="104">
        <v>432</v>
      </c>
      <c r="K70" s="104">
        <v>234</v>
      </c>
      <c r="L70" s="104">
        <v>0.0132</v>
      </c>
    </row>
    <row r="71" spans="6:12" ht="15.75">
      <c r="F71" s="105"/>
      <c r="G71" s="105"/>
      <c r="H71" s="105"/>
      <c r="I71" s="105"/>
      <c r="J71" s="105"/>
      <c r="K71" s="105"/>
      <c r="L71" s="105"/>
    </row>
    <row r="72" spans="6:12" ht="15.75">
      <c r="F72" s="104">
        <v>6802</v>
      </c>
      <c r="G72" s="104">
        <v>15</v>
      </c>
      <c r="H72" s="104">
        <v>24</v>
      </c>
      <c r="I72" s="104">
        <v>5</v>
      </c>
      <c r="J72" s="104">
        <v>468</v>
      </c>
      <c r="K72" s="104">
        <v>283</v>
      </c>
      <c r="L72" s="104">
        <v>0.0154</v>
      </c>
    </row>
    <row r="73" spans="6:12" ht="15.75">
      <c r="F73" s="105"/>
      <c r="G73" s="105"/>
      <c r="H73" s="105"/>
      <c r="I73" s="105"/>
      <c r="J73" s="105"/>
      <c r="K73" s="105"/>
      <c r="L73" s="105"/>
    </row>
    <row r="74" spans="6:12" ht="15.75">
      <c r="F74" s="104">
        <v>6803</v>
      </c>
      <c r="G74" s="104">
        <v>17</v>
      </c>
      <c r="H74" s="104">
        <v>26</v>
      </c>
      <c r="I74" s="104">
        <v>5</v>
      </c>
      <c r="J74" s="104">
        <v>632</v>
      </c>
      <c r="K74" s="104">
        <v>387</v>
      </c>
      <c r="L74" s="104">
        <v>0.0176</v>
      </c>
    </row>
    <row r="75" spans="6:12" ht="15.75">
      <c r="F75" s="105"/>
      <c r="G75" s="105"/>
      <c r="H75" s="105"/>
      <c r="I75" s="105"/>
      <c r="J75" s="105"/>
      <c r="K75" s="105"/>
      <c r="L75" s="105"/>
    </row>
    <row r="76" spans="6:12" ht="15.75">
      <c r="F76" s="104">
        <v>6804</v>
      </c>
      <c r="G76" s="104">
        <v>20</v>
      </c>
      <c r="H76" s="104">
        <v>32</v>
      </c>
      <c r="I76" s="104">
        <v>7</v>
      </c>
      <c r="J76" s="104">
        <v>899</v>
      </c>
      <c r="K76" s="104">
        <v>555</v>
      </c>
      <c r="L76" s="104">
        <v>0.0418</v>
      </c>
    </row>
    <row r="77" spans="6:12" ht="15.75">
      <c r="F77" s="106"/>
      <c r="G77" s="105"/>
      <c r="H77" s="105"/>
      <c r="I77" s="105"/>
      <c r="J77" s="105"/>
      <c r="K77" s="105"/>
      <c r="L77" s="105"/>
    </row>
    <row r="79" spans="1:7" ht="15.75">
      <c r="A79" t="s">
        <v>72</v>
      </c>
      <c r="B79" t="s">
        <v>123</v>
      </c>
      <c r="C79" t="s">
        <v>124</v>
      </c>
      <c r="D79" t="s">
        <v>125</v>
      </c>
      <c r="F79" t="s">
        <v>126</v>
      </c>
      <c r="G79" t="s">
        <v>127</v>
      </c>
    </row>
    <row r="80" spans="1:7" ht="15.75">
      <c r="A80">
        <v>5.047</v>
      </c>
      <c r="B80">
        <f>A80/2</f>
        <v>2.5235</v>
      </c>
      <c r="C80">
        <v>2.43</v>
      </c>
      <c r="D80">
        <v>0.031</v>
      </c>
      <c r="F80" s="59">
        <f>B80-C80-D80</f>
        <v>0.062499999999999695</v>
      </c>
      <c r="G80" s="59">
        <f>B80-C80+D80</f>
        <v>0.1244999999999997</v>
      </c>
    </row>
    <row r="81" spans="2:3" ht="15.75">
      <c r="B81" t="s">
        <v>128</v>
      </c>
      <c r="C81" t="s">
        <v>129</v>
      </c>
    </row>
    <row r="82" spans="2:4" ht="15.75">
      <c r="B82">
        <v>3</v>
      </c>
      <c r="C82">
        <v>4</v>
      </c>
      <c r="D82">
        <f>PI()*(B82)^2*C82</f>
        <v>113.09733552923255</v>
      </c>
    </row>
  </sheetData>
  <sheetProtection/>
  <mergeCells count="47">
    <mergeCell ref="I8:K8"/>
    <mergeCell ref="C34:G34"/>
    <mergeCell ref="F64:F67"/>
    <mergeCell ref="G64:I65"/>
    <mergeCell ref="J64:K65"/>
    <mergeCell ref="R36:AF36"/>
    <mergeCell ref="L64:L67"/>
    <mergeCell ref="G66:G67"/>
    <mergeCell ref="H66:H67"/>
    <mergeCell ref="I66:I67"/>
    <mergeCell ref="J66:J67"/>
    <mergeCell ref="K66:K67"/>
    <mergeCell ref="L68:L69"/>
    <mergeCell ref="F70:F71"/>
    <mergeCell ref="G70:G71"/>
    <mergeCell ref="H70:H71"/>
    <mergeCell ref="I70:I71"/>
    <mergeCell ref="J70:J71"/>
    <mergeCell ref="K70:K71"/>
    <mergeCell ref="L70:L71"/>
    <mergeCell ref="F68:F69"/>
    <mergeCell ref="G68:G69"/>
    <mergeCell ref="F72:F73"/>
    <mergeCell ref="G72:G73"/>
    <mergeCell ref="H72:H73"/>
    <mergeCell ref="I72:I73"/>
    <mergeCell ref="J68:J69"/>
    <mergeCell ref="K68:K69"/>
    <mergeCell ref="H68:H69"/>
    <mergeCell ref="I68:I69"/>
    <mergeCell ref="J72:J73"/>
    <mergeCell ref="K72:K73"/>
    <mergeCell ref="L72:L73"/>
    <mergeCell ref="F74:F75"/>
    <mergeCell ref="G74:G75"/>
    <mergeCell ref="H74:H75"/>
    <mergeCell ref="I74:I75"/>
    <mergeCell ref="J74:J75"/>
    <mergeCell ref="K74:K75"/>
    <mergeCell ref="L74:L75"/>
    <mergeCell ref="J76:J77"/>
    <mergeCell ref="K76:K77"/>
    <mergeCell ref="L76:L77"/>
    <mergeCell ref="F76:F77"/>
    <mergeCell ref="G76:G77"/>
    <mergeCell ref="H76:H77"/>
    <mergeCell ref="I76:I77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2">
      <selection activeCell="J16" sqref="J16"/>
    </sheetView>
  </sheetViews>
  <sheetFormatPr defaultColWidth="9.00390625" defaultRowHeight="15.75"/>
  <sheetData>
    <row r="2" ht="15.75">
      <c r="A2" t="e">
        <f>(H$60*$D$61)/$D$83</f>
        <v>#DIV/0!</v>
      </c>
    </row>
    <row r="4" spans="1:9" ht="15.75">
      <c r="A4" t="s">
        <v>229</v>
      </c>
      <c r="B4" t="s">
        <v>215</v>
      </c>
      <c r="D4" t="s">
        <v>230</v>
      </c>
      <c r="E4" t="s">
        <v>215</v>
      </c>
      <c r="G4" t="s">
        <v>231</v>
      </c>
      <c r="I4" t="s">
        <v>215</v>
      </c>
    </row>
    <row r="5" spans="1:9" ht="15.75">
      <c r="A5">
        <v>3</v>
      </c>
      <c r="B5">
        <v>67.8</v>
      </c>
      <c r="D5">
        <v>10</v>
      </c>
      <c r="E5">
        <v>66.5</v>
      </c>
      <c r="G5">
        <v>5</v>
      </c>
      <c r="I5">
        <v>89</v>
      </c>
    </row>
    <row r="6" spans="1:11" ht="15.75">
      <c r="A6">
        <v>4</v>
      </c>
      <c r="B6">
        <v>77.2</v>
      </c>
      <c r="C6" s="65">
        <f>(B6-B5)/B5</f>
        <v>0.13864306784660776</v>
      </c>
      <c r="D6">
        <v>20</v>
      </c>
      <c r="E6">
        <v>83.7</v>
      </c>
      <c r="F6" s="65">
        <f>(E6-E5)/E5</f>
        <v>0.2586466165413534</v>
      </c>
      <c r="G6">
        <v>6</v>
      </c>
      <c r="H6">
        <f>(G6-G5)/G5</f>
        <v>0.2</v>
      </c>
      <c r="I6">
        <v>121.1</v>
      </c>
      <c r="J6" s="65">
        <f>(I6-I5)/I5</f>
        <v>0.3606741573033707</v>
      </c>
      <c r="K6">
        <f>J6-H6</f>
        <v>0.1606741573033707</v>
      </c>
    </row>
    <row r="7" spans="1:11" ht="15.75">
      <c r="A7">
        <v>5</v>
      </c>
      <c r="B7">
        <v>82.5</v>
      </c>
      <c r="C7" s="65">
        <f aca="true" t="shared" si="0" ref="C7:C14">(B7-B6)/B6</f>
        <v>0.06865284974093261</v>
      </c>
      <c r="D7">
        <v>30</v>
      </c>
      <c r="E7">
        <v>91.5</v>
      </c>
      <c r="F7" s="65">
        <f aca="true" t="shared" si="1" ref="F7:F20">(E7-E6)/E6</f>
        <v>0.09318996415770606</v>
      </c>
      <c r="G7">
        <v>7</v>
      </c>
      <c r="H7">
        <f>(G7-G6)/G6</f>
        <v>0.16666666666666666</v>
      </c>
      <c r="I7">
        <v>154.9</v>
      </c>
      <c r="J7" s="65">
        <f aca="true" t="shared" si="2" ref="J7:J21">(I7-I6)/I6</f>
        <v>0.2791081750619324</v>
      </c>
      <c r="K7">
        <f aca="true" t="shared" si="3" ref="K7:K21">J7-H7</f>
        <v>0.11244150839526576</v>
      </c>
    </row>
    <row r="8" spans="1:11" ht="15.75">
      <c r="A8">
        <v>6</v>
      </c>
      <c r="B8">
        <v>85.7</v>
      </c>
      <c r="C8" s="65">
        <f t="shared" si="0"/>
        <v>0.03878787878787882</v>
      </c>
      <c r="D8">
        <v>40</v>
      </c>
      <c r="E8">
        <v>96.1</v>
      </c>
      <c r="F8" s="65">
        <f t="shared" si="1"/>
        <v>0.050273224043715786</v>
      </c>
      <c r="G8">
        <v>8</v>
      </c>
      <c r="H8">
        <f>(G8-G7)/G7</f>
        <v>0.14285714285714285</v>
      </c>
      <c r="I8">
        <v>189</v>
      </c>
      <c r="J8" s="65">
        <f t="shared" si="2"/>
        <v>0.22014202711426722</v>
      </c>
      <c r="K8">
        <f t="shared" si="3"/>
        <v>0.07728488425712438</v>
      </c>
    </row>
    <row r="9" spans="1:11" ht="15.75">
      <c r="A9">
        <v>7</v>
      </c>
      <c r="B9">
        <v>87.7</v>
      </c>
      <c r="C9" s="65">
        <f t="shared" si="0"/>
        <v>0.023337222870478413</v>
      </c>
      <c r="D9">
        <v>50</v>
      </c>
      <c r="E9">
        <v>99</v>
      </c>
      <c r="F9" s="65">
        <f t="shared" si="1"/>
        <v>0.030176899063475607</v>
      </c>
      <c r="G9">
        <v>9</v>
      </c>
      <c r="H9">
        <f>(G9-G8)/G8</f>
        <v>0.125</v>
      </c>
      <c r="I9">
        <v>222.7</v>
      </c>
      <c r="J9" s="65">
        <f t="shared" si="2"/>
        <v>0.17830687830687825</v>
      </c>
      <c r="K9">
        <f t="shared" si="3"/>
        <v>0.05330687830687825</v>
      </c>
    </row>
    <row r="10" spans="1:11" ht="15.75">
      <c r="A10" s="112">
        <v>8</v>
      </c>
      <c r="B10">
        <v>89.1</v>
      </c>
      <c r="C10" s="65">
        <f t="shared" si="0"/>
        <v>0.015963511972633883</v>
      </c>
      <c r="D10" s="112">
        <v>60</v>
      </c>
      <c r="E10">
        <v>101</v>
      </c>
      <c r="F10" s="65">
        <f t="shared" si="1"/>
        <v>0.020202020202020204</v>
      </c>
      <c r="G10">
        <v>10</v>
      </c>
      <c r="H10">
        <f>(G10-G9)/G9</f>
        <v>0.1111111111111111</v>
      </c>
      <c r="I10">
        <v>255.2</v>
      </c>
      <c r="J10" s="65">
        <f t="shared" si="2"/>
        <v>0.14593623709025597</v>
      </c>
      <c r="K10">
        <f t="shared" si="3"/>
        <v>0.03482512597914486</v>
      </c>
    </row>
    <row r="11" spans="1:11" ht="15.75">
      <c r="A11">
        <v>9</v>
      </c>
      <c r="B11">
        <v>90.1</v>
      </c>
      <c r="C11" s="65">
        <f t="shared" si="0"/>
        <v>0.011223344556677891</v>
      </c>
      <c r="D11">
        <v>70</v>
      </c>
      <c r="E11">
        <v>102.6</v>
      </c>
      <c r="F11" s="65">
        <f t="shared" si="1"/>
        <v>0.015841584158415786</v>
      </c>
      <c r="G11">
        <v>11</v>
      </c>
      <c r="H11">
        <f>(G11-G25)/G25</f>
        <v>0.1</v>
      </c>
      <c r="I11">
        <v>286.2</v>
      </c>
      <c r="J11" s="65">
        <f t="shared" si="2"/>
        <v>0.12147335423197493</v>
      </c>
      <c r="K11">
        <f t="shared" si="3"/>
        <v>0.021473354231974925</v>
      </c>
    </row>
    <row r="12" spans="1:11" ht="15.75">
      <c r="A12">
        <v>10</v>
      </c>
      <c r="B12">
        <v>90.8</v>
      </c>
      <c r="C12" s="65">
        <f t="shared" si="0"/>
        <v>0.007769145394006692</v>
      </c>
      <c r="D12">
        <v>80</v>
      </c>
      <c r="E12">
        <v>103.7</v>
      </c>
      <c r="F12" s="65">
        <f t="shared" si="1"/>
        <v>0.010721247563352911</v>
      </c>
      <c r="G12">
        <v>12</v>
      </c>
      <c r="H12">
        <f>(G12-G11)/G11</f>
        <v>0.09090909090909091</v>
      </c>
      <c r="I12">
        <v>315.2</v>
      </c>
      <c r="J12" s="65">
        <f t="shared" si="2"/>
        <v>0.1013277428371768</v>
      </c>
      <c r="K12">
        <f t="shared" si="3"/>
        <v>0.010418651928085887</v>
      </c>
    </row>
    <row r="13" spans="1:11" ht="15.75">
      <c r="A13">
        <v>11</v>
      </c>
      <c r="B13">
        <v>91.3</v>
      </c>
      <c r="C13" s="65">
        <f t="shared" si="0"/>
        <v>0.005506607929515419</v>
      </c>
      <c r="D13">
        <v>90</v>
      </c>
      <c r="E13">
        <v>104.7</v>
      </c>
      <c r="F13" s="65">
        <f t="shared" si="1"/>
        <v>0.009643201542912247</v>
      </c>
      <c r="G13">
        <v>13</v>
      </c>
      <c r="H13">
        <f>(G13-G12)/G12</f>
        <v>0.08333333333333333</v>
      </c>
      <c r="I13">
        <v>342.2</v>
      </c>
      <c r="J13" s="65">
        <f t="shared" si="2"/>
        <v>0.08565989847715737</v>
      </c>
      <c r="K13">
        <f t="shared" si="3"/>
        <v>0.0023265651438240387</v>
      </c>
    </row>
    <row r="14" spans="1:11" ht="15.75">
      <c r="A14">
        <v>12</v>
      </c>
      <c r="B14">
        <v>91.7</v>
      </c>
      <c r="C14" s="65">
        <f t="shared" si="0"/>
        <v>0.004381161007667094</v>
      </c>
      <c r="D14">
        <v>100</v>
      </c>
      <c r="E14">
        <v>105.4</v>
      </c>
      <c r="F14" s="65">
        <f t="shared" si="1"/>
        <v>0.00668576886341932</v>
      </c>
      <c r="G14" s="112">
        <v>14</v>
      </c>
      <c r="H14">
        <f>(G14-G13)/G13</f>
        <v>0.07692307692307693</v>
      </c>
      <c r="I14">
        <v>367.2</v>
      </c>
      <c r="J14" s="65">
        <f t="shared" si="2"/>
        <v>0.07305669199298656</v>
      </c>
      <c r="K14">
        <f t="shared" si="3"/>
        <v>-0.0038663849300903663</v>
      </c>
    </row>
    <row r="15" spans="4:11" ht="15.75">
      <c r="D15">
        <v>110</v>
      </c>
      <c r="E15">
        <v>106</v>
      </c>
      <c r="F15" s="65">
        <f t="shared" si="1"/>
        <v>0.005692599620493305</v>
      </c>
      <c r="G15">
        <v>15</v>
      </c>
      <c r="H15">
        <f>(G15-G10)/G10</f>
        <v>0.5</v>
      </c>
      <c r="I15">
        <v>390.2</v>
      </c>
      <c r="J15" s="65">
        <f t="shared" si="2"/>
        <v>0.06263616557734206</v>
      </c>
      <c r="K15">
        <f t="shared" si="3"/>
        <v>-0.4373638344226579</v>
      </c>
    </row>
    <row r="16" spans="4:11" ht="15.75">
      <c r="D16">
        <v>120</v>
      </c>
      <c r="E16">
        <v>106.6</v>
      </c>
      <c r="F16" s="65">
        <f t="shared" si="1"/>
        <v>0.005660377358490513</v>
      </c>
      <c r="G16">
        <v>20</v>
      </c>
      <c r="H16">
        <f>(G16-G15)/G15</f>
        <v>0.3333333333333333</v>
      </c>
      <c r="I16">
        <v>478.9</v>
      </c>
      <c r="J16" s="65">
        <f t="shared" si="2"/>
        <v>0.22731932342388517</v>
      </c>
      <c r="K16">
        <f t="shared" si="3"/>
        <v>-0.10601400990944815</v>
      </c>
    </row>
    <row r="17" spans="4:11" ht="15.75">
      <c r="D17">
        <v>130</v>
      </c>
      <c r="E17">
        <v>107</v>
      </c>
      <c r="F17" s="65">
        <f t="shared" si="1"/>
        <v>0.0037523452157599032</v>
      </c>
      <c r="G17">
        <v>25</v>
      </c>
      <c r="H17">
        <f>(G17-G16)/G16</f>
        <v>0.25</v>
      </c>
      <c r="I17">
        <v>535.1</v>
      </c>
      <c r="J17" s="65">
        <f t="shared" si="2"/>
        <v>0.11735226560868667</v>
      </c>
      <c r="K17">
        <f t="shared" si="3"/>
        <v>-0.13264773439131333</v>
      </c>
    </row>
    <row r="18" spans="4:11" ht="15.75">
      <c r="D18">
        <v>140</v>
      </c>
      <c r="E18">
        <v>107.4</v>
      </c>
      <c r="F18" s="65">
        <f t="shared" si="1"/>
        <v>0.003738317757009399</v>
      </c>
      <c r="G18">
        <v>30</v>
      </c>
      <c r="H18">
        <f>(G18-G17)/G17</f>
        <v>0.2</v>
      </c>
      <c r="I18">
        <v>571.6</v>
      </c>
      <c r="J18" s="65">
        <f t="shared" si="2"/>
        <v>0.06821154924313212</v>
      </c>
      <c r="K18">
        <f t="shared" si="3"/>
        <v>-0.1317884507568679</v>
      </c>
    </row>
    <row r="19" spans="4:11" ht="15.75">
      <c r="D19">
        <v>150</v>
      </c>
      <c r="E19">
        <v>107.7</v>
      </c>
      <c r="F19" s="65">
        <f t="shared" si="1"/>
        <v>0.002793296089385448</v>
      </c>
      <c r="G19">
        <v>35</v>
      </c>
      <c r="H19">
        <f>(G19-G18)/G18</f>
        <v>0.16666666666666666</v>
      </c>
      <c r="I19">
        <v>596.1</v>
      </c>
      <c r="J19" s="65">
        <f t="shared" si="2"/>
        <v>0.04286214135759272</v>
      </c>
      <c r="K19">
        <f t="shared" si="3"/>
        <v>-0.12380452530907393</v>
      </c>
    </row>
    <row r="20" spans="4:11" ht="15.75">
      <c r="D20">
        <v>160</v>
      </c>
      <c r="E20">
        <v>108</v>
      </c>
      <c r="F20" s="65">
        <f t="shared" si="1"/>
        <v>0.0027855153203342354</v>
      </c>
      <c r="G20">
        <v>40</v>
      </c>
      <c r="H20">
        <f>(G20-G19)/G19</f>
        <v>0.14285714285714285</v>
      </c>
      <c r="I20">
        <v>613.2</v>
      </c>
      <c r="J20" s="65">
        <f t="shared" si="2"/>
        <v>0.028686462003019664</v>
      </c>
      <c r="K20">
        <f t="shared" si="3"/>
        <v>-0.11417068085412319</v>
      </c>
    </row>
    <row r="21" spans="7:11" ht="15.75">
      <c r="G21">
        <v>45</v>
      </c>
      <c r="H21">
        <f>(G21-G20)/G20</f>
        <v>0.125</v>
      </c>
      <c r="I21">
        <v>625.4</v>
      </c>
      <c r="J21" s="65">
        <f t="shared" si="2"/>
        <v>0.01989562948467047</v>
      </c>
      <c r="K21">
        <f t="shared" si="3"/>
        <v>-0.10510437051532953</v>
      </c>
    </row>
    <row r="22" spans="7:11" ht="15.75">
      <c r="G22">
        <v>50</v>
      </c>
      <c r="H22">
        <f>(G22-G21)/G21</f>
        <v>0.1111111111111111</v>
      </c>
      <c r="I22">
        <v>634.5</v>
      </c>
      <c r="J22" s="65">
        <f>(I22-I21)/I21</f>
        <v>0.014550687559961662</v>
      </c>
      <c r="K22">
        <f>J22-H22</f>
        <v>-0.09656042355114944</v>
      </c>
    </row>
    <row r="23" spans="7:11" ht="15.75">
      <c r="G23">
        <v>55</v>
      </c>
      <c r="H23">
        <f>(G23-G22)/G22</f>
        <v>0.1</v>
      </c>
      <c r="I23">
        <v>641.4</v>
      </c>
      <c r="J23" s="65">
        <f>(I23-I22)/I22</f>
        <v>0.010874704491725732</v>
      </c>
      <c r="K23">
        <f>J23-H23</f>
        <v>-0.08912529550827428</v>
      </c>
    </row>
    <row r="24" spans="7:11" ht="15.75">
      <c r="G24">
        <v>60</v>
      </c>
      <c r="H24">
        <f>(G24-G23)/G23</f>
        <v>0.09090909090909091</v>
      </c>
      <c r="I24">
        <v>646.7</v>
      </c>
      <c r="J24" s="65">
        <f>(I24-I23)/I23</f>
        <v>0.008263174306205283</v>
      </c>
      <c r="K24">
        <f>J24-H24</f>
        <v>-0.08264591660288563</v>
      </c>
    </row>
    <row r="25" spans="7:11" ht="15.75">
      <c r="G25">
        <v>10</v>
      </c>
      <c r="H25">
        <f>(G25-G24)/G24</f>
        <v>-0.8333333333333334</v>
      </c>
      <c r="I25">
        <v>255.2</v>
      </c>
      <c r="J25" s="65">
        <f>(I25-I24)/I24</f>
        <v>-0.6053811659192826</v>
      </c>
      <c r="K25">
        <f>J25-H25</f>
        <v>0.22795216741405078</v>
      </c>
    </row>
    <row r="26" spans="7:11" ht="15.75">
      <c r="G26">
        <v>15</v>
      </c>
      <c r="H26">
        <f>(G26-G14)/G14</f>
        <v>0.07142857142857142</v>
      </c>
      <c r="I26">
        <v>390.2</v>
      </c>
      <c r="J26" s="65">
        <f>(I26-I14)/I14</f>
        <v>0.06263616557734206</v>
      </c>
      <c r="K26">
        <f aca="true" t="shared" si="4" ref="K21:K31">J26-H26</f>
        <v>-0.008792405851229368</v>
      </c>
    </row>
    <row r="27" spans="7:11" ht="15.75">
      <c r="G27">
        <v>16</v>
      </c>
      <c r="H27">
        <f>(G27-G26)/G26</f>
        <v>0.06666666666666667</v>
      </c>
      <c r="I27">
        <v>411.3</v>
      </c>
      <c r="J27" s="65">
        <f>(I27-I26)/I26</f>
        <v>0.05407483341875967</v>
      </c>
      <c r="K27">
        <f t="shared" si="4"/>
        <v>-0.012591833247906997</v>
      </c>
    </row>
    <row r="28" spans="7:11" ht="15.75">
      <c r="G28">
        <v>17</v>
      </c>
      <c r="H28">
        <f>(G28-G27)/G27</f>
        <v>0.0625</v>
      </c>
      <c r="I28">
        <v>430.6</v>
      </c>
      <c r="J28" s="65">
        <f>(I28-I27)/I27</f>
        <v>0.046924386092876275</v>
      </c>
      <c r="K28">
        <f t="shared" si="4"/>
        <v>-0.015575613907123725</v>
      </c>
    </row>
    <row r="29" spans="7:11" ht="15.75">
      <c r="G29">
        <v>18</v>
      </c>
      <c r="H29">
        <f>(G29-G28)/G28</f>
        <v>0.058823529411764705</v>
      </c>
      <c r="I29">
        <v>448.2</v>
      </c>
      <c r="J29" s="65">
        <f>(I29-I28)/I28</f>
        <v>0.04087320018578719</v>
      </c>
      <c r="K29">
        <f t="shared" si="4"/>
        <v>-0.017950329225977515</v>
      </c>
    </row>
    <row r="30" spans="7:11" ht="15.75">
      <c r="G30">
        <v>19</v>
      </c>
      <c r="H30">
        <f>(G30-G29)/G29</f>
        <v>0.05555555555555555</v>
      </c>
      <c r="I30">
        <v>464.2</v>
      </c>
      <c r="J30" s="65">
        <f>(I30-I29)/I29</f>
        <v>0.035698348951361</v>
      </c>
      <c r="K30">
        <f t="shared" si="4"/>
        <v>-0.01985720660419455</v>
      </c>
    </row>
    <row r="31" spans="7:11" ht="15.75">
      <c r="G31">
        <v>20</v>
      </c>
      <c r="H31">
        <f>(G31-G30)/G30</f>
        <v>0.05263157894736842</v>
      </c>
      <c r="I31">
        <v>478.9</v>
      </c>
      <c r="J31" s="65">
        <f>(I31-I30)/I30</f>
        <v>0.03166738474795344</v>
      </c>
      <c r="K31">
        <f t="shared" si="4"/>
        <v>-0.020964194199414976</v>
      </c>
    </row>
    <row r="32" ht="15.75">
      <c r="J32" s="65"/>
    </row>
    <row r="33" ht="15.75">
      <c r="J33" s="65"/>
    </row>
    <row r="34" ht="15.75">
      <c r="J34" s="65"/>
    </row>
    <row r="35" ht="15.75">
      <c r="J35" s="6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00390625" defaultRowHeight="15.75"/>
  <sheetData>
    <row r="1" ht="15.75">
      <c r="A1" t="s">
        <v>237</v>
      </c>
    </row>
    <row r="2" ht="15.75">
      <c r="A2" t="s">
        <v>238</v>
      </c>
    </row>
    <row r="3" ht="15.75">
      <c r="A3" t="s">
        <v>239</v>
      </c>
    </row>
    <row r="4" ht="15.75">
      <c r="A4" t="s">
        <v>240</v>
      </c>
    </row>
    <row r="5" ht="15.75">
      <c r="A5" s="115" t="s">
        <v>241</v>
      </c>
    </row>
    <row r="7" ht="15.75">
      <c r="A7" t="s">
        <v>242</v>
      </c>
    </row>
    <row r="8" ht="15.75">
      <c r="A8" t="s">
        <v>243</v>
      </c>
    </row>
    <row r="9" ht="15.75">
      <c r="A9" t="s">
        <v>244</v>
      </c>
    </row>
    <row r="10" ht="15.75">
      <c r="A10" t="s">
        <v>245</v>
      </c>
    </row>
  </sheetData>
  <sheetProtection/>
  <hyperlinks>
    <hyperlink ref="A5" r:id="rId1" display="sadeet.rana@3dsystem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Bearing Size Chart</dc:title>
  <dc:subject/>
  <dc:creator>Solar</dc:creator>
  <cp:keywords/>
  <dc:description/>
  <cp:lastModifiedBy>Solar</cp:lastModifiedBy>
  <cp:lastPrinted>2011-04-25T21:42:18Z</cp:lastPrinted>
  <dcterms:created xsi:type="dcterms:W3CDTF">2007-09-18T03:01:37Z</dcterms:created>
  <dcterms:modified xsi:type="dcterms:W3CDTF">2016-08-25T18:25:00Z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